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'СВОД'!$A$1:$W$88</definedName>
  </definedNames>
  <calcPr fullCalcOnLoad="1"/>
</workbook>
</file>

<file path=xl/sharedStrings.xml><?xml version="1.0" encoding="utf-8"?>
<sst xmlns="http://schemas.openxmlformats.org/spreadsheetml/2006/main" count="695" uniqueCount="431">
  <si>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</si>
  <si>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</si>
  <si>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</si>
  <si>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</si>
  <si>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</si>
  <si>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</si>
  <si>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</si>
  <si>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</si>
  <si>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</si>
  <si>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</si>
  <si>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</si>
  <si>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</si>
  <si>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</si>
  <si>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</si>
  <si>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</si>
  <si>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</si>
  <si>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</si>
  <si>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</si>
  <si>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</si>
  <si>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</si>
  <si>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</si>
  <si>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</si>
  <si>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</si>
  <si>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</si>
  <si>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</si>
  <si>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</si>
  <si>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</si>
  <si>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15, п. 1, п.п. 7
2) ст. 1, п. 1
3) ст. 11, п 2, п.п. "г"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</si>
  <si>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</si>
  <si>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</si>
  <si>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
2) п. 7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</si>
  <si>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</si>
  <si>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</si>
  <si>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</si>
  <si>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</si>
  <si>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</si>
  <si>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</si>
  <si>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</si>
  <si>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</si>
  <si>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</si>
  <si>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</si>
  <si>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</si>
  <si>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</si>
  <si>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</si>
  <si>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</si>
  <si>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</si>
  <si>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</si>
  <si>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</si>
  <si>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</si>
  <si>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</si>
  <si>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</si>
  <si>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</si>
  <si>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</si>
  <si>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</si>
  <si>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</si>
  <si>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</si>
  <si>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</si>
  <si>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</si>
  <si>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</si>
  <si>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</si>
  <si>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</si>
  <si>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</si>
  <si>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</si>
  <si>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</si>
  <si>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</si>
  <si>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</si>
  <si>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</si>
  <si>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</si>
  <si>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</si>
  <si>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</si>
  <si>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</si>
  <si>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</si>
  <si>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</si>
  <si>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</si>
  <si>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</si>
  <si>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</si>
  <si>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</si>
  <si>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</si>
  <si>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</si>
  <si>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</si>
  <si>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</si>
  <si>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</si>
  <si>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</si>
  <si>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</si>
  <si>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</si>
  <si>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</si>
  <si>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</si>
  <si>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</si>
  <si>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</si>
  <si>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</si>
  <si>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</si>
  <si>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</si>
  <si>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</si>
  <si>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</si>
  <si>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</si>
  <si>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</si>
  <si>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</si>
  <si>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</si>
  <si>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</si>
  <si>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</si>
  <si>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</si>
  <si>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</si>
  <si>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</si>
  <si>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</si>
  <si>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</si>
  <si>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</si>
  <si>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</si>
  <si>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</si>
  <si>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</si>
  <si>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</si>
  <si>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</si>
  <si>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</si>
  <si>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</si>
  <si>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</si>
  <si>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</si>
  <si>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</si>
  <si>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</si>
  <si>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</si>
  <si>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</si>
  <si>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</si>
  <si>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</si>
  <si>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</si>
  <si>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</si>
  <si>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06.10.2003,
не установлен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</si>
  <si>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</si>
  <si>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</si>
  <si>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</si>
  <si>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</si>
  <si>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</si>
  <si>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</si>
  <si>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</si>
  <si>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</si>
  <si>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</si>
  <si>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</si>
  <si>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</si>
  <si>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</si>
  <si>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</si>
  <si>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</si>
  <si>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</si>
  <si>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</si>
  <si>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</si>
  <si>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</si>
  <si>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</si>
  <si>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</si>
  <si>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</si>
  <si>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</si>
  <si>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</si>
  <si>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</si>
  <si>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</si>
  <si>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</si>
  <si>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</si>
  <si>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</si>
  <si>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</si>
  <si>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</si>
  <si>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</si>
  <si>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</si>
  <si>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</si>
  <si>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</si>
  <si>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</si>
  <si>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</si>
  <si>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</si>
  <si>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</si>
  <si>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</si>
  <si>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</si>
  <si>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</si>
  <si>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</si>
  <si>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</si>
  <si>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</si>
  <si>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1)  "О ветеранах" Федеральный Закон от 12.01.1995 № 5-ФЗ
                                                                                                    </t>
  </si>
  <si>
    <t xml:space="preserve">1) глава II, статья 23.2, пункты 1, 2;                                                                                                                                                                       </t>
  </si>
  <si>
    <t xml:space="preserve"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</si>
  <si>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</si>
  <si>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</si>
  <si>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</si>
  <si>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</si>
  <si>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</si>
  <si>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</si>
  <si>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</si>
  <si>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</si>
  <si>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</si>
  <si>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</si>
  <si>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</si>
  <si>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</si>
  <si>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</si>
  <si>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</si>
  <si>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</si>
  <si>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</si>
  <si>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</si>
  <si>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</si>
  <si>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</si>
  <si>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</si>
  <si>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</si>
  <si>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</si>
  <si>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</si>
  <si>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</si>
  <si>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</si>
  <si>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</si>
  <si>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</si>
  <si>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</si>
  <si>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>Закон Нижегородской области от 30.09.2008 №116-З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отношений"</t>
  </si>
  <si>
    <t>ст.4</t>
  </si>
  <si>
    <t xml:space="preserve">1) 06.10.2003,
не установлен
</t>
  </si>
  <si>
    <t>ст. 20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</si>
  <si>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</si>
  <si>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</si>
  <si>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</si>
  <si>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</si>
  <si>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
2) ст. 2, ст. 3
3) </t>
  </si>
  <si>
    <t>1) 21.10.2005, не установлен
2)10.12.2004, 31.12.2013
3) 01.01.2014, не установлен</t>
  </si>
  <si>
    <t>07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</si>
  <si>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</si>
  <si>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</si>
  <si>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>1) 01.01.2006, не установлен
2) 04.12.2009, не установлен
3) 24.07.2000, не установлен</t>
  </si>
  <si>
    <t xml:space="preserve">1) Закон Нижегородской области от 25.04.1997 № 70-З "О молодежной политике"
                                                                                                           </t>
  </si>
  <si>
    <t xml:space="preserve">1) ст. 8, п. 2
</t>
  </si>
  <si>
    <t xml:space="preserve">1) 25.04.1997, не установлен
</t>
  </si>
  <si>
    <t>1) Федеральный закон от 06.10.2003 № 131-ФЗ "Об общих принципах организации местного самоуправления в Российской Федерации"</t>
  </si>
  <si>
    <t>ст. 9</t>
  </si>
  <si>
    <t>1) 01.01.2006, не установлен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</si>
  <si>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</si>
  <si>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</si>
  <si>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</si>
  <si>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</si>
  <si>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</si>
  <si>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</si>
  <si>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</si>
  <si>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</si>
  <si>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</si>
  <si>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</si>
  <si>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</si>
  <si>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2.4.становление официальных символов муниципального образования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</si>
  <si>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</si>
  <si>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2.12.разработка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</si>
  <si>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</si>
  <si>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</si>
  <si>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</si>
  <si>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</si>
  <si>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3.1.8.Субвенции на исполнение полномочий в сфере общего образования в муниципальных общеобразовательных организациях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</si>
  <si>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</si>
  <si>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3.1.43.Субвенции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</si>
  <si>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</si>
  <si>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</si>
  <si>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</si>
  <si>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</si>
  <si>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</si>
  <si>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</si>
  <si>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</si>
  <si>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</si>
  <si>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</si>
  <si>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</si>
  <si>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</si>
  <si>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</si>
  <si>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</si>
  <si>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</si>
  <si>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</si>
  <si>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</si>
  <si>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</si>
  <si>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</si>
  <si>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 xml:space="preserve">02          </t>
  </si>
  <si>
    <t xml:space="preserve">05           </t>
  </si>
  <si>
    <t xml:space="preserve">3.1.42.Субвенции на обеспечение жильем отдельных категорий граждан, установленных федеральными законами от 12 января 1995 года №5-ФЗ «О ветеранах» и от 24 ноября 1995 года №181-ФЗ «О социальной защите инвалидов в Российской Федерации» </t>
  </si>
  <si>
    <t>1)  "О ветеранах" Федеральный Закон от 12.01.1995 № 5-ФЗ
                                                                                                    2) Федеральный закон от 24.11.1995 № 181-ФЗ "О социальной защите инвалидов в Российской Федерации"</t>
  </si>
  <si>
    <t>1) глава II, статья 23.2, пункты 1, 2;                                                                                                                                                                       2) глава IV, статья 28.2, абзац 1</t>
  </si>
  <si>
    <t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2) 27.11.1995, не установлен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</si>
  <si>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</si>
  <si>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2.8  полномочиями по организации теплоснабжения, предусмотренными  ФЗ  "О теплоснабжении"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</si>
  <si>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</si>
  <si>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теплоснабжении" от 27.07.2010 N 190-ФЗ</t>
  </si>
  <si>
    <t>27.07.2010 не установлен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</si>
  <si>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</si>
  <si>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</si>
  <si>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</si>
  <si>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</si>
  <si>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</si>
  <si>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</si>
  <si>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</si>
  <si>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</si>
  <si>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</si>
  <si>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</si>
  <si>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</si>
  <si>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</si>
  <si>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</si>
  <si>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</si>
  <si>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</si>
  <si>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</si>
  <si>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</si>
  <si>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</si>
  <si>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</si>
  <si>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</si>
  <si>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</si>
  <si>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</si>
  <si>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отчетный  2018 год</t>
  </si>
  <si>
    <t>текущий 
 2019 год</t>
  </si>
  <si>
    <t>очередной 2020 год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</si>
  <si>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</si>
  <si>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</si>
  <si>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</si>
  <si>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</si>
  <si>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</si>
  <si>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</si>
  <si>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</si>
  <si>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</si>
  <si>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 xml:space="preserve">3.1.52.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</si>
  <si>
    <t xml:space="preserve"> 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</t>
  </si>
  <si>
    <t>18.08.2011 не установлен</t>
  </si>
  <si>
    <t>04                      01       05</t>
  </si>
  <si>
    <t>12                         13         01</t>
  </si>
  <si>
    <t xml:space="preserve">
10       05</t>
  </si>
  <si>
    <t xml:space="preserve">
03          02</t>
  </si>
  <si>
    <t>06       05</t>
  </si>
  <si>
    <t>03         02</t>
  </si>
  <si>
    <t>10       10</t>
  </si>
  <si>
    <t>03         04</t>
  </si>
  <si>
    <t>3.1.53.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</si>
  <si>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>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</t>
  </si>
  <si>
    <t>Бюджетный кодекс Российской Федерации</t>
  </si>
  <si>
    <t>ст. 139</t>
  </si>
  <si>
    <t>20.04.2013 не установлен</t>
  </si>
  <si>
    <t xml:space="preserve">1) 03.08.1998,
не установлен
</t>
  </si>
  <si>
    <t>Княгининский муниципальный район</t>
  </si>
  <si>
    <t>1.14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</si>
  <si>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</si>
  <si>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ст.15, п.1,п.п.19, ст.4, п.1</t>
  </si>
  <si>
    <t>Федеральный закон от 29.12.1994 №78-ФЗ "О библиотечном деле"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</si>
  <si>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</si>
  <si>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ст.15, п.1 п.п.19.1</t>
  </si>
  <si>
    <t>08
04          08</t>
  </si>
  <si>
    <t xml:space="preserve">1) ст.17, п 3
2) ст.34 п.9, ст22, п.2                     
</t>
  </si>
  <si>
    <t>01             03           04        07        07   
08
12</t>
  </si>
  <si>
    <t>13             09            12         03         07
04
01</t>
  </si>
  <si>
    <t xml:space="preserve">1) ст. 38, абз, 1
2) ст. 6
</t>
  </si>
  <si>
    <t>1) 06.10.2003, не установлен
2) 02.03.2007, не установлен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</si>
  <si>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</si>
  <si>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</si>
  <si>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01.01.2006, не установлен
2) 02.03.2007, не установлен</t>
  </si>
  <si>
    <t>ст. 38, абз, 1</t>
  </si>
  <si>
    <t>06</t>
  </si>
  <si>
    <t>1.2. Установление, изменение и отмена местных налогов и сборов муниципального района</t>
  </si>
  <si>
    <t xml:space="preserve">ст. 15, п. 1, п.п. 2
</t>
  </si>
  <si>
    <t xml:space="preserve"> 06.10.2003, не установлен, не установлен</t>
  </si>
  <si>
    <t>01
03        04
05</t>
  </si>
  <si>
    <t>11
09         10             02</t>
  </si>
  <si>
    <t>01  
01         03         01         04</t>
  </si>
  <si>
    <t>04 
06           09         13         10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</si>
  <si>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</si>
  <si>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</si>
  <si>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</si>
  <si>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</si>
  <si>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</si>
  <si>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1.30.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 социально ориентированным некомерческим организациям, благотворительной деятельности и добровольчеству</t>
  </si>
  <si>
    <t xml:space="preserve">Федеральный закон от 06.10.2003года № 131 -ФЗ "Об общих принципах организации местного самоуправления в Российской Федерации""    </t>
  </si>
  <si>
    <t>статья 6</t>
  </si>
  <si>
    <t>01.01.2009г., " не установлена"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</si>
  <si>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
</t>
  </si>
  <si>
    <t xml:space="preserve">1)полностью 
ст.34 п.9, ст22, п.2
2) ст. 22, п. 2
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</si>
  <si>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</si>
  <si>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</si>
  <si>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</si>
  <si>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01.01.206г.,не установлена"</t>
  </si>
  <si>
    <t>3.1.12 Субвенции на возмещение части затрат на приобретение элитных семян за счет средств областного бюджета</t>
  </si>
  <si>
    <t>Постановление  Правительства   Нижегородской области от 13.02.2017г. № 63 "О порядке и условиях предоставления и распределения субсидий на содействие достижению целевых показателей государственной программы " Развитие агропромышленного комплекса Нижегородской области", источником финансового обеспечения которых являются средства федерального и областного бюджетов</t>
  </si>
  <si>
    <t>в целом</t>
  </si>
  <si>
    <t>01.01.2017г., "не установлена"</t>
  </si>
  <si>
    <t>3.1.14. Субвенции на поддержку племенного животноводства молочного направления  за счет средств областного бюджета</t>
  </si>
  <si>
    <t>01.01.2017г., "Не установлена"</t>
  </si>
  <si>
    <t>3.1.15. Субвенции на возмещение частим процентной ставки по долгосрочным, среднесрочным и краткосрочным кредитам, взятыми малыми формами хозяйствования за счет средств областного бюджета</t>
  </si>
  <si>
    <t>01.01.2017г., " не установлена"</t>
  </si>
  <si>
    <t>3.1.21. Субвенции на осуществление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</t>
  </si>
  <si>
    <t>Постановление Правительства Нижегородской области от 20.11.2013г. № 862 " об утверждении Положения о порядке и условиях предоставления и использования субвенций из средств областного бюджета бюджетам муниципальных районов городских округов Нижегородской области на осуществление отдельных государственных 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животных"</t>
  </si>
  <si>
    <t>01.01.2014г., " не установлена"</t>
  </si>
  <si>
    <t>3.1.23. Субвенции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 бюджета</t>
  </si>
  <si>
    <t>Постановление Правительства РФ от 22.12.2012г. № 1370 "об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(или) отгруженного на собственную переработку молока"</t>
  </si>
  <si>
    <t>01.01.2013г., " не установлена"</t>
  </si>
  <si>
    <t>Постановление Правительства Нижегородской области от 14.03.2013г. № 148 "об утверждении Правил о порядке предоставления средств на возмещение части затрат сельскохозяйственным товаропроизводителям на 1 килограмм реализованного  и (или) отгруженного на собственную переработку молока за счет средств областного бюджета"</t>
  </si>
  <si>
    <t>3.1.26. Субвенция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</si>
  <si>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Постановление  Правительства   Нижегородской области от 03.05.2013г. № 136 "Об утверждении Положения о порядке предоставления субсидий на оказание несвязанной поддержки сельскохозяйственным  товаропроизводителям в области растениеводства"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</si>
  <si>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</si>
  <si>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13.11.2012г. № 803 "О государственной поддержке агропромышленного комплекса Нижегородской области" в редакции ППНО № 375 от 31.05.2017г.</t>
  </si>
  <si>
    <t>3.1.30.Субвенции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областного бюджета</t>
  </si>
  <si>
    <t>Постановление  Правительства   Нижегородской области от 25.03.2013г. № 173 "О предоставлении субсидий из федерального и областного бюджетов на возмещение части затрат на уплату процентов по кредитам, полученным в российских кредитных организациях и  займам, полученным в сельскохозяйственных потребительких кооперативах"</t>
  </si>
  <si>
    <t>3.1.31. Субвенции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областного бюджета</t>
  </si>
  <si>
    <t>3.1.37. Субвенции на возмещение части процентной ставки по долгосрочным, среднесрочным и краткосрочным кредитам, взятыми малыми формами фозяйствования за счет средств федерального бюджета</t>
  </si>
  <si>
    <t>Постановление  Правительства  Российской Федерации от 28.12.2012г. № 1460 "Об утверждении предоставления и распределения субсидий из федерального бюджета бюджетам субъектов РФ на возмещение части затрат на уплату процентов по кредитам, полученным в российских кредитных организациях и  займам, полученным в сельскохозяйственных потребительких кооперативах"</t>
  </si>
  <si>
    <t>3.1.38.Субвенция на возмещение части процентной ставки по инвестиционным кредитам(займам) на развитие животноводства, переработки и развиия инфраструктуры  и логистического обеспечения рынков продукции животноводства за счет средств федерального бюджета</t>
  </si>
  <si>
    <t>3.1.40. Субвенции на возмещение части затрат на приобретение элитных семян за счет средств федерального  бюджета</t>
  </si>
  <si>
    <t>Постановление Правительства РФ от 12.12.2012г. № 1295 "об утверждении правил предоставления и распределения субсидий из федерального бюджета бюджетам субъектов  Российской  Федерации на возмещение отдельных подотраслей растениеводства "</t>
  </si>
  <si>
    <t>пункт 2, подпункт а</t>
  </si>
  <si>
    <t>3.1.41. Субвенции на поддержку племенного животноводства за счет средств федерального бюджета</t>
  </si>
  <si>
    <t>Постановление Правительства РФ от 04.12.2012г. № 1257 "об утверждении правил предоставления и распределения субсидий из федерального бюджета бюджетам субъектов  Российской  Федерации на поддержку животноводства "</t>
  </si>
  <si>
    <t>3.1.45. Субвенция на оказание несвязанной поддержки сельскохозяйственным товаропроизводителям в области растениеводства за счет средств федерального  бюджета</t>
  </si>
  <si>
    <t>Постановление Правительства РФ от 27.12.2012г. № 1431 "об утверждении и предоставления и распределения субсидий из федерального бюджета бюджетам субъектов  Федерации на оказание  несвязанной поддержки секльскохозяйственным товаропроизводителям растениеводства, а также в области развития семенного картофеля и овощей  открытого грунта"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</si>
  <si>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</si>
  <si>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01.01.2006, не установлен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</si>
  <si>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</si>
  <si>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</si>
  <si>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</si>
  <si>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>0</t>
  </si>
  <si>
    <t xml:space="preserve"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                                                                                4) Закон Российской Федерации от 29.12.2012 № 273-ФЗ "Об образовании в Российской Федерации"
</t>
  </si>
  <si>
    <t xml:space="preserve">1) ст. 15, п. 1, п.п. 11
2) ст. 5
3) ст. 5
4) гл.7, гл. 10
</t>
  </si>
  <si>
    <t xml:space="preserve">1) 01.01.2006, не установлен
2) 10.07.1992, не установлен
3) 21.12.1996, не установлен
4) 01.09.2013, не установлен 
</t>
  </si>
  <si>
    <t>1) Закон Нижегородской области от 30.12.2005 № 212-З "О социальной поддержке отдельных категорий граждан в целях реализации их права на образование"</t>
  </si>
  <si>
    <t xml:space="preserve">1) ст. 11, п. 2
</t>
  </si>
  <si>
    <t xml:space="preserve">1) 30.12.2005, не установлен
</t>
  </si>
  <si>
    <t>04
07
07
07
07                                                                                                                                                                                                          07</t>
  </si>
  <si>
    <t>01
01
02                                                 03
07
09</t>
  </si>
  <si>
    <t>01         01        04
04
08
07        10        10
11</t>
  </si>
  <si>
    <t>04         13         10
12
04
09         01         03
05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</si>
  <si>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</si>
  <si>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</si>
  <si>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</si>
  <si>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</si>
  <si>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</si>
  <si>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</si>
  <si>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</si>
  <si>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</si>
  <si>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</si>
  <si>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</si>
  <si>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</si>
  <si>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</si>
  <si>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</si>
  <si>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1) ст. 1, ст. 5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</si>
  <si>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</si>
  <si>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</si>
  <si>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</si>
  <si>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</si>
  <si>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</si>
  <si>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</si>
  <si>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</si>
  <si>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</si>
  <si>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 xml:space="preserve"> Предварительный реестр расходных обязательств муниципальных образований, входящих в состав Нижегородской области </t>
  </si>
  <si>
    <t xml:space="preserve">02
01            01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</si>
</sst>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35" applyFont="1" applyFill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80" fontId="6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4" fillId="0" borderId="0" xfId="0" applyNumberFormat="1" applyFont="1" applyAlignment="1">
      <alignment/>
    </xf>
    <xf numFmtId="18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" fontId="4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180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/>
    </xf>
    <xf numFmtId="172" fontId="2" fillId="33" borderId="0" xfId="35" applyNumberFormat="1" applyFont="1" applyFill="1" applyAlignment="1">
      <alignment vertical="center"/>
      <protection/>
    </xf>
    <xf numFmtId="0" fontId="2" fillId="33" borderId="0" xfId="35" applyFont="1" applyFill="1" applyAlignment="1">
      <alignment vertical="center"/>
      <protection/>
    </xf>
    <xf numFmtId="172" fontId="2" fillId="34" borderId="0" xfId="35" applyNumberFormat="1" applyFont="1" applyFill="1" applyAlignment="1">
      <alignment vertical="center"/>
      <protection/>
    </xf>
    <xf numFmtId="0" fontId="2" fillId="34" borderId="0" xfId="35" applyFont="1" applyFill="1" applyAlignment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2" fillId="33" borderId="0" xfId="35" applyFont="1" applyFill="1" applyAlignment="1">
      <alignment vertical="center" wrapText="1"/>
      <protection/>
    </xf>
    <xf numFmtId="0" fontId="2" fillId="33" borderId="0" xfId="35" applyFont="1" applyFill="1" applyAlignment="1">
      <alignment horizontal="center" vertical="center"/>
      <protection/>
    </xf>
    <xf numFmtId="49" fontId="2" fillId="33" borderId="0" xfId="35" applyNumberFormat="1" applyFont="1" applyFill="1" applyAlignment="1">
      <alignment horizontal="center" vertical="center"/>
      <protection/>
    </xf>
    <xf numFmtId="0" fontId="4" fillId="33" borderId="0" xfId="0" applyFont="1" applyFill="1" applyAlignment="1">
      <alignment vertical="top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4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35" applyFont="1" applyFill="1" applyBorder="1" applyAlignment="1">
      <alignment horizontal="center" vertical="center" wrapText="1"/>
      <protection/>
    </xf>
    <xf numFmtId="49" fontId="4" fillId="33" borderId="10" xfId="35" applyNumberFormat="1" applyFont="1" applyFill="1" applyBorder="1" applyAlignment="1">
      <alignment horizontal="center" vertical="center" wrapText="1"/>
      <protection/>
    </xf>
    <xf numFmtId="2" fontId="4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72" fontId="4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0" xfId="35" applyNumberFormat="1" applyFont="1" applyFill="1" applyBorder="1" applyAlignment="1">
      <alignment horizontal="center" vertical="center"/>
      <protection/>
    </xf>
    <xf numFmtId="172" fontId="4" fillId="33" borderId="10" xfId="35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2" fontId="4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172" fontId="2" fillId="33" borderId="0" xfId="35" applyNumberFormat="1" applyFont="1" applyFill="1" applyAlignment="1">
      <alignment horizontal="center" vertical="center"/>
      <protection/>
    </xf>
    <xf numFmtId="49" fontId="4" fillId="33" borderId="11" xfId="60" applyNumberFormat="1" applyFont="1" applyFill="1" applyBorder="1" applyAlignment="1" applyProtection="1">
      <alignment horizontal="center" vertical="center" wrapText="1" shrinkToFit="1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33" borderId="14" xfId="0" applyNumberFormat="1" applyFont="1" applyFill="1" applyBorder="1" applyAlignment="1">
      <alignment horizontal="center" vertical="center" wrapText="1" shrinkToFit="1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2" fontId="0" fillId="33" borderId="14" xfId="0" applyNumberFormat="1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25" fillId="33" borderId="11" xfId="0" applyFont="1" applyFill="1" applyBorder="1" applyAlignment="1">
      <alignment horizontal="left" vertical="top" wrapText="1"/>
    </xf>
    <xf numFmtId="0" fontId="2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33" borderId="14" xfId="0" applyFont="1" applyFill="1" applyBorder="1" applyAlignment="1">
      <alignment horizontal="left" vertical="top" wrapText="1"/>
    </xf>
    <xf numFmtId="0" fontId="27" fillId="33" borderId="14" xfId="0" applyFont="1" applyFill="1" applyBorder="1" applyAlignment="1">
      <alignment horizontal="center" vertical="center" wrapText="1" shrinkToFit="1"/>
    </xf>
    <xf numFmtId="0" fontId="26" fillId="33" borderId="12" xfId="0" applyFont="1" applyFill="1" applyBorder="1" applyAlignment="1">
      <alignment vertical="top" wrapText="1"/>
    </xf>
    <xf numFmtId="0" fontId="2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10" xfId="0" applyFont="1" applyFill="1" applyBorder="1" applyAlignment="1">
      <alignment horizontal="justify" vertical="center" wrapText="1"/>
    </xf>
    <xf numFmtId="0" fontId="2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Font="1" applyBorder="1" applyAlignment="1">
      <alignment horizontal="justify" vertical="center" wrapText="1"/>
    </xf>
    <xf numFmtId="0" fontId="2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6" fillId="33" borderId="10" xfId="0" applyNumberFormat="1" applyFont="1" applyFill="1" applyBorder="1" applyAlignment="1">
      <alignment horizontal="justify" vertical="center" wrapText="1"/>
    </xf>
    <xf numFmtId="14" fontId="2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11" xfId="0" applyFont="1" applyFill="1" applyBorder="1" applyAlignment="1">
      <alignment horizontal="justify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justify" vertical="center" wrapText="1"/>
    </xf>
    <xf numFmtId="0" fontId="2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3" borderId="10" xfId="0" applyFont="1" applyFill="1" applyBorder="1" applyAlignment="1">
      <alignment vertical="center" wrapText="1"/>
    </xf>
    <xf numFmtId="0" fontId="26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33" borderId="14" xfId="0" applyFont="1" applyFill="1" applyBorder="1" applyAlignment="1">
      <alignment horizontal="left" vertical="center" wrapText="1" shrinkToFit="1"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60" applyNumberFormat="1" applyFont="1" applyFill="1" applyBorder="1" applyAlignment="1" applyProtection="1">
      <alignment horizontal="left" vertical="center" wrapText="1" shrinkToFit="1"/>
      <protection locked="0"/>
    </xf>
    <xf numFmtId="14" fontId="2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vertical="top" wrapText="1"/>
    </xf>
    <xf numFmtId="0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14" fontId="2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60" applyNumberFormat="1" applyFont="1" applyFill="1" applyBorder="1" applyAlignment="1" applyProtection="1">
      <alignment horizontal="left" vertical="center" wrapText="1" shrinkToFit="1"/>
      <protection locked="0"/>
    </xf>
    <xf numFmtId="14" fontId="2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26" fillId="35" borderId="11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1" xfId="0" applyNumberFormat="1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justify" vertical="center" wrapText="1"/>
    </xf>
    <xf numFmtId="0" fontId="25" fillId="33" borderId="12" xfId="0" applyFont="1" applyFill="1" applyBorder="1" applyAlignment="1">
      <alignment vertical="top" wrapText="1"/>
    </xf>
    <xf numFmtId="0" fontId="2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6" fillId="33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49" fontId="48" fillId="33" borderId="10" xfId="0" applyNumberFormat="1" applyFont="1" applyFill="1" applyBorder="1" applyAlignment="1">
      <alignment horizontal="justify" vertical="center" wrapText="1"/>
    </xf>
    <xf numFmtId="0" fontId="25" fillId="33" borderId="10" xfId="0" applyFont="1" applyFill="1" applyBorder="1" applyAlignment="1">
      <alignment vertical="center" wrapText="1"/>
    </xf>
    <xf numFmtId="0" fontId="29" fillId="33" borderId="10" xfId="35" applyFont="1" applyFill="1" applyBorder="1" applyAlignment="1">
      <alignment horizontal="center" vertical="center"/>
      <protection/>
    </xf>
    <xf numFmtId="0" fontId="29" fillId="33" borderId="10" xfId="35" applyFont="1" applyFill="1" applyBorder="1" applyAlignment="1">
      <alignment horizontal="left" vertical="center"/>
      <protection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Zeros="0" tabSelected="1" view="pageBreakPreview" zoomScale="81" zoomScaleNormal="73" zoomScaleSheetLayoutView="81" zoomScalePageLayoutView="0" workbookViewId="0" topLeftCell="A1">
      <pane xSplit="3" ySplit="8" topLeftCell="D9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G87" sqref="G87"/>
    </sheetView>
  </sheetViews>
  <sheetFormatPr defaultColWidth="9.00390625" defaultRowHeight="12.75"/>
  <cols>
    <col min="1" max="1" width="0" style="1" hidden="1" customWidth="1"/>
    <col min="2" max="2" width="1.25" style="1" hidden="1" customWidth="1"/>
    <col min="3" max="3" width="20.375" style="45" customWidth="1"/>
    <col min="4" max="4" width="16.75390625" style="46" customWidth="1"/>
    <col min="5" max="5" width="9.75390625" style="46" customWidth="1"/>
    <col min="6" max="6" width="13.875" style="46" customWidth="1"/>
    <col min="7" max="7" width="19.00390625" style="46" customWidth="1"/>
    <col min="8" max="8" width="10.75390625" style="46" customWidth="1"/>
    <col min="9" max="9" width="12.625" style="46" customWidth="1"/>
    <col min="10" max="10" width="7.25390625" style="47" customWidth="1"/>
    <col min="11" max="11" width="8.00390625" style="47" customWidth="1"/>
    <col min="12" max="12" width="13.00390625" style="46" customWidth="1"/>
    <col min="13" max="13" width="11.875" style="46" customWidth="1"/>
    <col min="14" max="14" width="11.375" style="46" customWidth="1"/>
    <col min="15" max="16" width="10.00390625" style="46" customWidth="1"/>
    <col min="17" max="17" width="9.125" style="46" customWidth="1"/>
    <col min="18" max="18" width="9.875" style="46" customWidth="1"/>
    <col min="19" max="19" width="10.125" style="46" customWidth="1"/>
    <col min="20" max="20" width="7.625" style="46" customWidth="1"/>
    <col min="21" max="21" width="10.25390625" style="46" customWidth="1"/>
    <col min="22" max="22" width="11.00390625" style="46" customWidth="1"/>
    <col min="23" max="23" width="10.875" style="46" customWidth="1"/>
    <col min="24" max="24" width="9.875" style="1" customWidth="1"/>
    <col min="25" max="25" width="14.625" style="1" customWidth="1"/>
    <col min="26" max="26" width="13.25390625" style="1" customWidth="1"/>
    <col min="27" max="27" width="15.875" style="1" customWidth="1"/>
    <col min="28" max="28" width="14.75390625" style="1" customWidth="1"/>
    <col min="29" max="29" width="13.25390625" style="1" customWidth="1"/>
    <col min="30" max="30" width="16.625" style="1" customWidth="1"/>
    <col min="31" max="16384" width="9.125" style="1" customWidth="1"/>
  </cols>
  <sheetData>
    <row r="1" spans="1:24" s="38" customFormat="1" ht="12.75">
      <c r="A1" s="49" t="s">
        <v>0</v>
      </c>
      <c r="B1" s="110" t="s">
        <v>429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49"/>
    </row>
    <row r="2" spans="1:24" s="38" customFormat="1" ht="6" customHeight="1">
      <c r="A2" s="49"/>
      <c r="B2" s="50"/>
      <c r="C2" s="41"/>
      <c r="D2" s="41"/>
      <c r="E2" s="41"/>
      <c r="F2" s="41"/>
      <c r="G2" s="41"/>
      <c r="H2" s="41"/>
      <c r="I2" s="41"/>
      <c r="J2" s="51"/>
      <c r="K2" s="5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9"/>
    </row>
    <row r="3" spans="1:24" s="38" customFormat="1" ht="15.75" customHeight="1">
      <c r="A3" s="49"/>
      <c r="B3" s="50"/>
      <c r="C3" s="48" t="s">
        <v>256</v>
      </c>
      <c r="D3" s="41"/>
      <c r="E3" s="41"/>
      <c r="F3" s="41"/>
      <c r="G3" s="41"/>
      <c r="H3" s="99" t="s">
        <v>319</v>
      </c>
      <c r="I3" s="99"/>
      <c r="J3" s="99"/>
      <c r="K3" s="99"/>
      <c r="L3" s="99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9"/>
    </row>
    <row r="4" spans="1:24" s="38" customFormat="1" ht="18" customHeight="1">
      <c r="A4" s="49"/>
      <c r="B4" s="50"/>
      <c r="C4" s="48" t="s">
        <v>257</v>
      </c>
      <c r="D4" s="41"/>
      <c r="E4" s="41"/>
      <c r="F4" s="41"/>
      <c r="G4" s="41"/>
      <c r="H4" s="41"/>
      <c r="I4" s="41"/>
      <c r="J4" s="51"/>
      <c r="K4" s="5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9"/>
    </row>
    <row r="5" spans="1:24" s="38" customFormat="1" ht="24.75" customHeight="1">
      <c r="A5" s="49"/>
      <c r="B5" s="106" t="s">
        <v>14</v>
      </c>
      <c r="C5" s="106"/>
      <c r="D5" s="106" t="s">
        <v>20</v>
      </c>
      <c r="E5" s="106"/>
      <c r="F5" s="106"/>
      <c r="G5" s="106"/>
      <c r="H5" s="106"/>
      <c r="I5" s="106"/>
      <c r="J5" s="112" t="s">
        <v>13</v>
      </c>
      <c r="K5" s="113"/>
      <c r="L5" s="106" t="s">
        <v>17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49"/>
    </row>
    <row r="6" spans="1:24" s="38" customFormat="1" ht="27" customHeight="1">
      <c r="A6" s="49" t="s">
        <v>1</v>
      </c>
      <c r="B6" s="106"/>
      <c r="C6" s="106"/>
      <c r="D6" s="106" t="s">
        <v>10</v>
      </c>
      <c r="E6" s="106"/>
      <c r="F6" s="106"/>
      <c r="G6" s="106" t="s">
        <v>253</v>
      </c>
      <c r="H6" s="106"/>
      <c r="I6" s="106"/>
      <c r="J6" s="113"/>
      <c r="K6" s="113"/>
      <c r="L6" s="106" t="s">
        <v>291</v>
      </c>
      <c r="M6" s="106"/>
      <c r="N6" s="104" t="s">
        <v>292</v>
      </c>
      <c r="O6" s="111" t="s">
        <v>293</v>
      </c>
      <c r="P6" s="102"/>
      <c r="Q6" s="103"/>
      <c r="R6" s="101">
        <v>2021</v>
      </c>
      <c r="S6" s="102"/>
      <c r="T6" s="103"/>
      <c r="U6" s="101">
        <v>2022</v>
      </c>
      <c r="V6" s="102"/>
      <c r="W6" s="103"/>
      <c r="X6" s="49"/>
    </row>
    <row r="7" spans="1:24" s="38" customFormat="1" ht="54" customHeight="1">
      <c r="A7" s="49" t="s">
        <v>2</v>
      </c>
      <c r="B7" s="106"/>
      <c r="C7" s="106"/>
      <c r="D7" s="42" t="s">
        <v>8</v>
      </c>
      <c r="E7" s="42" t="s">
        <v>9</v>
      </c>
      <c r="F7" s="42" t="s">
        <v>3</v>
      </c>
      <c r="G7" s="42" t="s">
        <v>8</v>
      </c>
      <c r="H7" s="42" t="s">
        <v>9</v>
      </c>
      <c r="I7" s="42" t="s">
        <v>3</v>
      </c>
      <c r="J7" s="52" t="s">
        <v>15</v>
      </c>
      <c r="K7" s="52" t="s">
        <v>16</v>
      </c>
      <c r="L7" s="42" t="s">
        <v>11</v>
      </c>
      <c r="M7" s="42" t="s">
        <v>12</v>
      </c>
      <c r="N7" s="105"/>
      <c r="O7" s="42" t="s">
        <v>242</v>
      </c>
      <c r="P7" s="42" t="s">
        <v>243</v>
      </c>
      <c r="Q7" s="42" t="s">
        <v>244</v>
      </c>
      <c r="R7" s="42" t="s">
        <v>242</v>
      </c>
      <c r="S7" s="42" t="s">
        <v>243</v>
      </c>
      <c r="T7" s="42" t="s">
        <v>244</v>
      </c>
      <c r="U7" s="42" t="s">
        <v>242</v>
      </c>
      <c r="V7" s="42" t="s">
        <v>243</v>
      </c>
      <c r="W7" s="42" t="s">
        <v>244</v>
      </c>
      <c r="X7" s="49"/>
    </row>
    <row r="8" spans="1:24" s="38" customFormat="1" ht="19.5" customHeight="1">
      <c r="A8" s="49" t="s">
        <v>4</v>
      </c>
      <c r="B8" s="53"/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52" t="s">
        <v>4</v>
      </c>
      <c r="K8" s="52" t="s">
        <v>241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42">
        <v>17</v>
      </c>
      <c r="T8" s="42">
        <v>18</v>
      </c>
      <c r="U8" s="42">
        <v>19</v>
      </c>
      <c r="V8" s="42">
        <v>20</v>
      </c>
      <c r="W8" s="42">
        <v>21</v>
      </c>
      <c r="X8" s="49"/>
    </row>
    <row r="9" spans="1:28" s="38" customFormat="1" ht="40.5" customHeight="1">
      <c r="A9" s="49" t="s">
        <v>5</v>
      </c>
      <c r="B9" s="107"/>
      <c r="C9" s="117" t="s">
        <v>219</v>
      </c>
      <c r="D9" s="118" t="s">
        <v>19</v>
      </c>
      <c r="E9" s="118" t="s">
        <v>19</v>
      </c>
      <c r="F9" s="118" t="s">
        <v>19</v>
      </c>
      <c r="G9" s="118" t="s">
        <v>19</v>
      </c>
      <c r="H9" s="118" t="s">
        <v>19</v>
      </c>
      <c r="I9" s="118" t="s">
        <v>19</v>
      </c>
      <c r="J9" s="108" t="s">
        <v>19</v>
      </c>
      <c r="K9" s="108" t="s">
        <v>19</v>
      </c>
      <c r="L9" s="96">
        <f>L11</f>
        <v>96002.8</v>
      </c>
      <c r="M9" s="96">
        <f>M11</f>
        <v>90649.1</v>
      </c>
      <c r="N9" s="96">
        <f>N11</f>
        <v>174858.50000000003</v>
      </c>
      <c r="O9" s="96">
        <f>P9+Q9</f>
        <v>181821.09999999998</v>
      </c>
      <c r="P9" s="96">
        <f>P11</f>
        <v>153323.69999999998</v>
      </c>
      <c r="Q9" s="96">
        <f>Q11</f>
        <v>28497.399999999998</v>
      </c>
      <c r="R9" s="96">
        <f>S9+T9</f>
        <v>123899.8</v>
      </c>
      <c r="S9" s="96">
        <f>S11</f>
        <v>123706.90000000001</v>
      </c>
      <c r="T9" s="96">
        <f>T11</f>
        <v>192.9</v>
      </c>
      <c r="U9" s="96">
        <f>V9+W9</f>
        <v>125977.5</v>
      </c>
      <c r="V9" s="96">
        <f>V11</f>
        <v>125339.6</v>
      </c>
      <c r="W9" s="96">
        <f>W11</f>
        <v>637.9</v>
      </c>
      <c r="X9" s="49"/>
      <c r="Y9" s="37"/>
      <c r="Z9" s="37"/>
      <c r="AA9" s="37"/>
      <c r="AB9" s="37"/>
    </row>
    <row r="10" spans="1:33" s="38" customFormat="1" ht="132" customHeight="1">
      <c r="A10" s="49" t="s">
        <v>6</v>
      </c>
      <c r="B10" s="107"/>
      <c r="C10" s="119"/>
      <c r="D10" s="120"/>
      <c r="E10" s="120"/>
      <c r="F10" s="120"/>
      <c r="G10" s="120"/>
      <c r="H10" s="120"/>
      <c r="I10" s="120"/>
      <c r="J10" s="109"/>
      <c r="K10" s="109"/>
      <c r="L10" s="100"/>
      <c r="M10" s="100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49"/>
      <c r="Y10" s="37"/>
      <c r="Z10" s="37"/>
      <c r="AA10" s="37"/>
      <c r="AB10" s="37"/>
      <c r="AC10" s="37"/>
      <c r="AD10" s="37"/>
      <c r="AE10" s="37"/>
      <c r="AF10" s="37"/>
      <c r="AG10" s="37">
        <f>Z9</f>
        <v>0</v>
      </c>
    </row>
    <row r="11" spans="1:30" s="38" customFormat="1" ht="53.25" customHeight="1">
      <c r="A11" s="49"/>
      <c r="B11" s="44"/>
      <c r="C11" s="121" t="s">
        <v>220</v>
      </c>
      <c r="D11" s="122" t="s">
        <v>19</v>
      </c>
      <c r="E11" s="122" t="s">
        <v>19</v>
      </c>
      <c r="F11" s="122" t="s">
        <v>19</v>
      </c>
      <c r="G11" s="122" t="s">
        <v>19</v>
      </c>
      <c r="H11" s="122" t="s">
        <v>19</v>
      </c>
      <c r="I11" s="122" t="s">
        <v>19</v>
      </c>
      <c r="J11" s="54" t="s">
        <v>19</v>
      </c>
      <c r="K11" s="54" t="s">
        <v>19</v>
      </c>
      <c r="L11" s="55">
        <f aca="true" t="shared" si="0" ref="L11:W11">SUM(L12:L29)</f>
        <v>96002.8</v>
      </c>
      <c r="M11" s="55">
        <f t="shared" si="0"/>
        <v>90649.1</v>
      </c>
      <c r="N11" s="55">
        <f t="shared" si="0"/>
        <v>174858.50000000003</v>
      </c>
      <c r="O11" s="55">
        <f t="shared" si="0"/>
        <v>181821.09999999998</v>
      </c>
      <c r="P11" s="55">
        <f t="shared" si="0"/>
        <v>153323.69999999998</v>
      </c>
      <c r="Q11" s="55">
        <f t="shared" si="0"/>
        <v>28497.399999999998</v>
      </c>
      <c r="R11" s="55">
        <f t="shared" si="0"/>
        <v>123899.8</v>
      </c>
      <c r="S11" s="55">
        <f t="shared" si="0"/>
        <v>123706.90000000001</v>
      </c>
      <c r="T11" s="55">
        <f t="shared" si="0"/>
        <v>192.9</v>
      </c>
      <c r="U11" s="55">
        <f t="shared" si="0"/>
        <v>125977.5</v>
      </c>
      <c r="V11" s="55">
        <f t="shared" si="0"/>
        <v>125339.6</v>
      </c>
      <c r="W11" s="55">
        <f t="shared" si="0"/>
        <v>637.9</v>
      </c>
      <c r="X11" s="49"/>
      <c r="Y11" s="37"/>
      <c r="Z11" s="37"/>
      <c r="AA11" s="37"/>
      <c r="AB11" s="37"/>
      <c r="AC11" s="37"/>
      <c r="AD11" s="37"/>
    </row>
    <row r="12" spans="1:30" s="38" customFormat="1" ht="198.75" customHeight="1">
      <c r="A12" s="49"/>
      <c r="B12" s="44"/>
      <c r="C12" s="123" t="s">
        <v>332</v>
      </c>
      <c r="D12" s="122" t="s">
        <v>32</v>
      </c>
      <c r="E12" s="122" t="s">
        <v>333</v>
      </c>
      <c r="F12" s="122" t="s">
        <v>334</v>
      </c>
      <c r="G12" s="124" t="s">
        <v>33</v>
      </c>
      <c r="H12" s="124" t="s">
        <v>335</v>
      </c>
      <c r="I12" s="124" t="s">
        <v>34</v>
      </c>
      <c r="J12" s="54" t="s">
        <v>21</v>
      </c>
      <c r="K12" s="54" t="s">
        <v>336</v>
      </c>
      <c r="L12" s="56">
        <f>948.8+8589.2</f>
        <v>9538</v>
      </c>
      <c r="M12" s="56">
        <f>946.9+8574.8</f>
        <v>9521.699999999999</v>
      </c>
      <c r="N12" s="57">
        <f>958.9+8670</f>
        <v>9628.9</v>
      </c>
      <c r="O12" s="58">
        <f>P12+Q12</f>
        <v>8703.3</v>
      </c>
      <c r="P12" s="57">
        <f>988.3+7715</f>
        <v>8703.3</v>
      </c>
      <c r="Q12" s="57"/>
      <c r="R12" s="58">
        <f>S12+T12</f>
        <v>8730.8</v>
      </c>
      <c r="S12" s="57">
        <f>988.3+7742.5</f>
        <v>8730.8</v>
      </c>
      <c r="T12" s="57"/>
      <c r="U12" s="58">
        <f>V12+W12</f>
        <v>8721.699999999999</v>
      </c>
      <c r="V12" s="57">
        <f>988.3+7733.4</f>
        <v>8721.699999999999</v>
      </c>
      <c r="W12" s="55"/>
      <c r="X12" s="49"/>
      <c r="Y12" s="37"/>
      <c r="Z12" s="37"/>
      <c r="AA12" s="37"/>
      <c r="AB12" s="37"/>
      <c r="AC12" s="37"/>
      <c r="AD12" s="37"/>
    </row>
    <row r="13" spans="1:30" s="38" customFormat="1" ht="120" customHeight="1">
      <c r="A13" s="49"/>
      <c r="B13" s="44"/>
      <c r="C13" s="125" t="s">
        <v>337</v>
      </c>
      <c r="D13" s="126" t="s">
        <v>35</v>
      </c>
      <c r="E13" s="126" t="s">
        <v>338</v>
      </c>
      <c r="F13" s="126" t="s">
        <v>339</v>
      </c>
      <c r="G13" s="127" t="s">
        <v>33</v>
      </c>
      <c r="H13" s="127" t="s">
        <v>335</v>
      </c>
      <c r="I13" s="127" t="s">
        <v>34</v>
      </c>
      <c r="J13" s="59" t="s">
        <v>21</v>
      </c>
      <c r="K13" s="59" t="s">
        <v>336</v>
      </c>
      <c r="L13" s="57">
        <v>875.7</v>
      </c>
      <c r="M13" s="57">
        <v>875.7</v>
      </c>
      <c r="N13" s="60">
        <v>966.9</v>
      </c>
      <c r="O13" s="58">
        <f aca="true" t="shared" si="1" ref="O13:O24">P13+Q13</f>
        <v>997.1</v>
      </c>
      <c r="P13" s="61">
        <v>997.1</v>
      </c>
      <c r="Q13" s="62">
        <v>0</v>
      </c>
      <c r="R13" s="61">
        <f>S13+T13</f>
        <v>997.1</v>
      </c>
      <c r="S13" s="61">
        <v>997.1</v>
      </c>
      <c r="T13" s="61">
        <v>0</v>
      </c>
      <c r="U13" s="61">
        <f>V13+W13</f>
        <v>997.1</v>
      </c>
      <c r="V13" s="61">
        <v>997.1</v>
      </c>
      <c r="W13" s="61">
        <v>0</v>
      </c>
      <c r="X13" s="49"/>
      <c r="Y13" s="37"/>
      <c r="Z13" s="37"/>
      <c r="AA13" s="37"/>
      <c r="AB13" s="37"/>
      <c r="AC13" s="37"/>
      <c r="AD13" s="37"/>
    </row>
    <row r="14" spans="1:30" s="38" customFormat="1" ht="210" customHeight="1">
      <c r="A14" s="49"/>
      <c r="B14" s="43"/>
      <c r="C14" s="123" t="s">
        <v>221</v>
      </c>
      <c r="D14" s="122" t="s">
        <v>99</v>
      </c>
      <c r="E14" s="122" t="s">
        <v>100</v>
      </c>
      <c r="F14" s="122" t="s">
        <v>286</v>
      </c>
      <c r="G14" s="124" t="s">
        <v>101</v>
      </c>
      <c r="H14" s="124" t="s">
        <v>102</v>
      </c>
      <c r="I14" s="124" t="s">
        <v>103</v>
      </c>
      <c r="J14" s="63" t="s">
        <v>305</v>
      </c>
      <c r="K14" s="63" t="s">
        <v>306</v>
      </c>
      <c r="L14" s="57">
        <v>247</v>
      </c>
      <c r="M14" s="57">
        <f>247-12.8</f>
        <v>234.2</v>
      </c>
      <c r="N14" s="57">
        <f>247+2750+3.8</f>
        <v>3000.8</v>
      </c>
      <c r="O14" s="58">
        <f t="shared" si="1"/>
        <v>247</v>
      </c>
      <c r="P14" s="57">
        <v>247</v>
      </c>
      <c r="Q14" s="57"/>
      <c r="R14" s="58">
        <f>S14+T14</f>
        <v>0</v>
      </c>
      <c r="S14" s="57"/>
      <c r="T14" s="57"/>
      <c r="U14" s="58">
        <f>V14+W14</f>
        <v>0</v>
      </c>
      <c r="V14" s="57"/>
      <c r="W14" s="57"/>
      <c r="X14" s="49"/>
      <c r="Y14" s="37"/>
      <c r="Z14" s="37"/>
      <c r="AA14" s="37"/>
      <c r="AB14" s="37"/>
      <c r="AC14" s="37"/>
      <c r="AD14" s="37"/>
    </row>
    <row r="15" spans="1:30" s="40" customFormat="1" ht="245.25" customHeight="1">
      <c r="A15" s="64"/>
      <c r="B15" s="65"/>
      <c r="C15" s="123" t="s">
        <v>222</v>
      </c>
      <c r="D15" s="122" t="s">
        <v>152</v>
      </c>
      <c r="E15" s="122" t="s">
        <v>153</v>
      </c>
      <c r="F15" s="122" t="s">
        <v>285</v>
      </c>
      <c r="G15" s="122" t="s">
        <v>154</v>
      </c>
      <c r="H15" s="122" t="s">
        <v>155</v>
      </c>
      <c r="I15" s="122" t="s">
        <v>156</v>
      </c>
      <c r="J15" s="63" t="s">
        <v>307</v>
      </c>
      <c r="K15" s="63" t="s">
        <v>308</v>
      </c>
      <c r="L15" s="57">
        <v>180</v>
      </c>
      <c r="M15" s="57">
        <f>180-135</f>
        <v>45</v>
      </c>
      <c r="N15" s="57"/>
      <c r="O15" s="58">
        <f t="shared" si="1"/>
        <v>1524</v>
      </c>
      <c r="P15" s="57">
        <v>1524</v>
      </c>
      <c r="Q15" s="57"/>
      <c r="R15" s="58">
        <f>S15+T15</f>
        <v>0</v>
      </c>
      <c r="S15" s="57"/>
      <c r="T15" s="57"/>
      <c r="U15" s="58">
        <f>V15+W15</f>
        <v>0</v>
      </c>
      <c r="V15" s="57"/>
      <c r="W15" s="57"/>
      <c r="X15" s="64"/>
      <c r="Y15" s="39"/>
      <c r="Z15" s="39"/>
      <c r="AA15" s="39"/>
      <c r="AB15" s="39"/>
      <c r="AC15" s="39"/>
      <c r="AD15" s="39"/>
    </row>
    <row r="16" spans="1:30" s="40" customFormat="1" ht="276" customHeight="1">
      <c r="A16" s="64"/>
      <c r="B16" s="65"/>
      <c r="C16" s="123" t="s">
        <v>223</v>
      </c>
      <c r="D16" s="122" t="s">
        <v>132</v>
      </c>
      <c r="E16" s="122" t="s">
        <v>133</v>
      </c>
      <c r="F16" s="122" t="s">
        <v>134</v>
      </c>
      <c r="G16" s="122" t="s">
        <v>135</v>
      </c>
      <c r="H16" s="122" t="s">
        <v>136</v>
      </c>
      <c r="I16" s="122" t="s">
        <v>192</v>
      </c>
      <c r="J16" s="63" t="s">
        <v>22</v>
      </c>
      <c r="K16" s="63" t="s">
        <v>137</v>
      </c>
      <c r="L16" s="57">
        <v>2134</v>
      </c>
      <c r="M16" s="57">
        <f>2134-764.7</f>
        <v>1369.3</v>
      </c>
      <c r="N16" s="57">
        <v>4033.6</v>
      </c>
      <c r="O16" s="58">
        <f t="shared" si="1"/>
        <v>7008.4</v>
      </c>
      <c r="P16" s="57">
        <v>7008.4</v>
      </c>
      <c r="Q16" s="57"/>
      <c r="R16" s="58">
        <f>S16+T16</f>
        <v>0</v>
      </c>
      <c r="S16" s="57"/>
      <c r="T16" s="57"/>
      <c r="U16" s="58">
        <f>V16+W16</f>
        <v>0</v>
      </c>
      <c r="V16" s="57"/>
      <c r="W16" s="57"/>
      <c r="X16" s="64"/>
      <c r="Y16" s="39"/>
      <c r="Z16" s="39"/>
      <c r="AA16" s="39"/>
      <c r="AB16" s="39"/>
      <c r="AC16" s="39"/>
      <c r="AD16" s="39"/>
    </row>
    <row r="17" spans="1:30" s="40" customFormat="1" ht="133.5" customHeight="1">
      <c r="A17" s="64"/>
      <c r="B17" s="65"/>
      <c r="C17" s="128" t="s">
        <v>391</v>
      </c>
      <c r="D17" s="126" t="s">
        <v>35</v>
      </c>
      <c r="E17" s="126" t="s">
        <v>338</v>
      </c>
      <c r="F17" s="126" t="s">
        <v>392</v>
      </c>
      <c r="G17" s="129" t="s">
        <v>393</v>
      </c>
      <c r="H17" s="129" t="s">
        <v>394</v>
      </c>
      <c r="I17" s="130" t="s">
        <v>395</v>
      </c>
      <c r="J17" s="85" t="s">
        <v>209</v>
      </c>
      <c r="K17" s="66" t="s">
        <v>299</v>
      </c>
      <c r="L17" s="62">
        <v>1</v>
      </c>
      <c r="M17" s="62">
        <v>1</v>
      </c>
      <c r="N17" s="62">
        <v>1</v>
      </c>
      <c r="O17" s="58">
        <f t="shared" si="1"/>
        <v>1</v>
      </c>
      <c r="P17" s="62">
        <v>1</v>
      </c>
      <c r="Q17" s="62">
        <v>0</v>
      </c>
      <c r="R17" s="62">
        <v>1</v>
      </c>
      <c r="S17" s="62">
        <v>1</v>
      </c>
      <c r="T17" s="62">
        <v>0</v>
      </c>
      <c r="U17" s="62">
        <v>1</v>
      </c>
      <c r="V17" s="62">
        <v>1</v>
      </c>
      <c r="W17" s="62">
        <v>0</v>
      </c>
      <c r="X17" s="64"/>
      <c r="Y17" s="39"/>
      <c r="Z17" s="39"/>
      <c r="AA17" s="39"/>
      <c r="AB17" s="39"/>
      <c r="AC17" s="39"/>
      <c r="AD17" s="39"/>
    </row>
    <row r="18" spans="1:30" s="38" customFormat="1" ht="282" customHeight="1">
      <c r="A18" s="49"/>
      <c r="B18" s="43"/>
      <c r="C18" s="123" t="s">
        <v>224</v>
      </c>
      <c r="D18" s="122" t="s">
        <v>26</v>
      </c>
      <c r="E18" s="122" t="s">
        <v>27</v>
      </c>
      <c r="F18" s="122" t="s">
        <v>28</v>
      </c>
      <c r="G18" s="131" t="s">
        <v>29</v>
      </c>
      <c r="H18" s="122" t="s">
        <v>30</v>
      </c>
      <c r="I18" s="122" t="s">
        <v>31</v>
      </c>
      <c r="J18" s="63" t="s">
        <v>340</v>
      </c>
      <c r="K18" s="63" t="s">
        <v>341</v>
      </c>
      <c r="L18" s="57">
        <f>6413.2+1782</f>
        <v>8195.2</v>
      </c>
      <c r="M18" s="57">
        <f>4732.8</f>
        <v>4732.8</v>
      </c>
      <c r="N18" s="57">
        <f>3187.7+2759.1</f>
        <v>5946.799999999999</v>
      </c>
      <c r="O18" s="58">
        <f t="shared" si="1"/>
        <v>10196.8</v>
      </c>
      <c r="P18" s="57">
        <f>3265.1+6931.7</f>
        <v>10196.8</v>
      </c>
      <c r="Q18" s="57"/>
      <c r="R18" s="58">
        <f>S18+T18</f>
        <v>260.4</v>
      </c>
      <c r="S18" s="57">
        <f>120+140.4</f>
        <v>260.4</v>
      </c>
      <c r="T18" s="57"/>
      <c r="U18" s="58">
        <f>V18+W18</f>
        <v>595.6</v>
      </c>
      <c r="V18" s="57">
        <f>120+475.6</f>
        <v>595.6</v>
      </c>
      <c r="W18" s="57"/>
      <c r="X18" s="49"/>
      <c r="Y18" s="37"/>
      <c r="Z18" s="37"/>
      <c r="AA18" s="37"/>
      <c r="AB18" s="37"/>
      <c r="AC18" s="37"/>
      <c r="AD18" s="37"/>
    </row>
    <row r="19" spans="1:30" s="38" customFormat="1" ht="301.5" customHeight="1">
      <c r="A19" s="49"/>
      <c r="B19" s="43"/>
      <c r="C19" s="123" t="s">
        <v>225</v>
      </c>
      <c r="D19" s="122" t="s">
        <v>144</v>
      </c>
      <c r="E19" s="122" t="s">
        <v>145</v>
      </c>
      <c r="F19" s="122" t="s">
        <v>146</v>
      </c>
      <c r="G19" s="131" t="s">
        <v>147</v>
      </c>
      <c r="H19" s="122" t="s">
        <v>148</v>
      </c>
      <c r="I19" s="122" t="s">
        <v>149</v>
      </c>
      <c r="J19" s="63" t="s">
        <v>309</v>
      </c>
      <c r="K19" s="63" t="s">
        <v>310</v>
      </c>
      <c r="L19" s="57">
        <v>20.3</v>
      </c>
      <c r="M19" s="57">
        <v>20.3</v>
      </c>
      <c r="N19" s="57">
        <v>1624.9</v>
      </c>
      <c r="O19" s="58">
        <f t="shared" si="1"/>
        <v>1852.6</v>
      </c>
      <c r="P19" s="57">
        <v>1852.6</v>
      </c>
      <c r="Q19" s="57"/>
      <c r="R19" s="58">
        <f>S19+T19</f>
        <v>20.3</v>
      </c>
      <c r="S19" s="57">
        <v>20.3</v>
      </c>
      <c r="T19" s="57"/>
      <c r="U19" s="58">
        <f>V19+W19</f>
        <v>20.3</v>
      </c>
      <c r="V19" s="57">
        <v>20.3</v>
      </c>
      <c r="W19" s="57"/>
      <c r="X19" s="49"/>
      <c r="Y19" s="37"/>
      <c r="Z19" s="37"/>
      <c r="AA19" s="37"/>
      <c r="AB19" s="37"/>
      <c r="AC19" s="37"/>
      <c r="AD19" s="37"/>
    </row>
    <row r="20" spans="1:30" s="38" customFormat="1" ht="408.75" customHeight="1">
      <c r="A20" s="49"/>
      <c r="B20" s="43"/>
      <c r="C20" s="123" t="s">
        <v>320</v>
      </c>
      <c r="D20" s="126" t="s">
        <v>397</v>
      </c>
      <c r="E20" s="126" t="s">
        <v>398</v>
      </c>
      <c r="F20" s="126" t="s">
        <v>399</v>
      </c>
      <c r="G20" s="131" t="s">
        <v>400</v>
      </c>
      <c r="H20" s="126" t="s">
        <v>401</v>
      </c>
      <c r="I20" s="126" t="s">
        <v>402</v>
      </c>
      <c r="J20" s="63" t="s">
        <v>403</v>
      </c>
      <c r="K20" s="63" t="s">
        <v>404</v>
      </c>
      <c r="L20" s="57">
        <f>4838.6+32964</f>
        <v>37802.6</v>
      </c>
      <c r="M20" s="57">
        <f>4838.6+32256.8</f>
        <v>37095.4</v>
      </c>
      <c r="N20" s="57">
        <f>5519.4+69330.6</f>
        <v>74850</v>
      </c>
      <c r="O20" s="58">
        <f t="shared" si="1"/>
        <v>80870.2</v>
      </c>
      <c r="P20" s="57">
        <f>6047+47272.3+26198.1</f>
        <v>79517.4</v>
      </c>
      <c r="Q20" s="57">
        <f>5.8+1347</f>
        <v>1352.8</v>
      </c>
      <c r="R20" s="58">
        <f>S20+T20</f>
        <v>74146.29999999999</v>
      </c>
      <c r="S20" s="57">
        <f>6129.8+46369+21454.6</f>
        <v>73953.4</v>
      </c>
      <c r="T20" s="57">
        <f>192.9</f>
        <v>192.9</v>
      </c>
      <c r="U20" s="58">
        <f>V20+W20</f>
        <v>75976.3</v>
      </c>
      <c r="V20" s="57">
        <f>6192.8+47365.8+21779.8</f>
        <v>75338.40000000001</v>
      </c>
      <c r="W20" s="57">
        <f>637.9</f>
        <v>637.9</v>
      </c>
      <c r="X20" s="49"/>
      <c r="Y20" s="37"/>
      <c r="Z20" s="37"/>
      <c r="AA20" s="37"/>
      <c r="AB20" s="37"/>
      <c r="AC20" s="37"/>
      <c r="AD20" s="37"/>
    </row>
    <row r="21" spans="1:30" s="38" customFormat="1" ht="145.5" customHeight="1">
      <c r="A21" s="49"/>
      <c r="B21" s="43"/>
      <c r="C21" s="132" t="s">
        <v>264</v>
      </c>
      <c r="D21" s="122" t="s">
        <v>287</v>
      </c>
      <c r="E21" s="122" t="s">
        <v>289</v>
      </c>
      <c r="F21" s="122" t="s">
        <v>288</v>
      </c>
      <c r="G21" s="131"/>
      <c r="H21" s="122"/>
      <c r="I21" s="122"/>
      <c r="J21" s="63" t="s">
        <v>23</v>
      </c>
      <c r="K21" s="63" t="s">
        <v>106</v>
      </c>
      <c r="L21" s="57"/>
      <c r="M21" s="57"/>
      <c r="N21" s="57">
        <f>2198.5-947.7+3709.3+363.1-2283.5</f>
        <v>3039.7000000000007</v>
      </c>
      <c r="O21" s="58">
        <f t="shared" si="1"/>
        <v>619.8</v>
      </c>
      <c r="P21" s="57">
        <v>619.8</v>
      </c>
      <c r="Q21" s="57"/>
      <c r="R21" s="58"/>
      <c r="S21" s="57"/>
      <c r="T21" s="57"/>
      <c r="U21" s="58"/>
      <c r="V21" s="57"/>
      <c r="W21" s="57"/>
      <c r="X21" s="49"/>
      <c r="Y21" s="37"/>
      <c r="Z21" s="37"/>
      <c r="AA21" s="37"/>
      <c r="AB21" s="37"/>
      <c r="AC21" s="37"/>
      <c r="AD21" s="37"/>
    </row>
    <row r="22" spans="1:30" s="38" customFormat="1" ht="180.75" customHeight="1">
      <c r="A22" s="49"/>
      <c r="B22" s="43"/>
      <c r="C22" s="123" t="s">
        <v>226</v>
      </c>
      <c r="D22" s="122" t="s">
        <v>185</v>
      </c>
      <c r="E22" s="122" t="s">
        <v>186</v>
      </c>
      <c r="F22" s="122" t="s">
        <v>284</v>
      </c>
      <c r="G22" s="131" t="s">
        <v>187</v>
      </c>
      <c r="H22" s="122" t="s">
        <v>188</v>
      </c>
      <c r="I22" s="122" t="s">
        <v>189</v>
      </c>
      <c r="J22" s="63" t="s">
        <v>254</v>
      </c>
      <c r="K22" s="63" t="s">
        <v>255</v>
      </c>
      <c r="L22" s="57">
        <f>483.4+13.1</f>
        <v>496.5</v>
      </c>
      <c r="M22" s="57">
        <f>483.4+13.1-1.1</f>
        <v>495.4</v>
      </c>
      <c r="N22" s="57">
        <f>518.3+68.1+0.1-8.8</f>
        <v>577.7</v>
      </c>
      <c r="O22" s="58">
        <f t="shared" si="1"/>
        <v>578.8</v>
      </c>
      <c r="P22" s="57">
        <v>578.8</v>
      </c>
      <c r="Q22" s="57"/>
      <c r="R22" s="58">
        <f aca="true" t="shared" si="2" ref="R22:R31">S22+T22</f>
        <v>601.1</v>
      </c>
      <c r="S22" s="57">
        <v>601.1</v>
      </c>
      <c r="T22" s="57"/>
      <c r="U22" s="58">
        <f aca="true" t="shared" si="3" ref="U22:U31">V22+W22</f>
        <v>601.1</v>
      </c>
      <c r="V22" s="57">
        <v>601.1</v>
      </c>
      <c r="W22" s="57"/>
      <c r="X22" s="49"/>
      <c r="Y22" s="37"/>
      <c r="Z22" s="37"/>
      <c r="AA22" s="37"/>
      <c r="AB22" s="37"/>
      <c r="AC22" s="37"/>
      <c r="AD22" s="37"/>
    </row>
    <row r="23" spans="1:30" s="40" customFormat="1" ht="131.25" customHeight="1">
      <c r="A23" s="64"/>
      <c r="B23" s="65"/>
      <c r="C23" s="123" t="s">
        <v>250</v>
      </c>
      <c r="D23" s="122" t="s">
        <v>35</v>
      </c>
      <c r="E23" s="122" t="s">
        <v>142</v>
      </c>
      <c r="F23" s="122" t="s">
        <v>281</v>
      </c>
      <c r="G23" s="131" t="s">
        <v>196</v>
      </c>
      <c r="H23" s="122" t="s">
        <v>197</v>
      </c>
      <c r="I23" s="133" t="s">
        <v>198</v>
      </c>
      <c r="J23" s="63" t="s">
        <v>23</v>
      </c>
      <c r="K23" s="63" t="s">
        <v>106</v>
      </c>
      <c r="L23" s="57">
        <v>571</v>
      </c>
      <c r="M23" s="57">
        <f>571-236.4</f>
        <v>334.6</v>
      </c>
      <c r="N23" s="57">
        <v>304.6</v>
      </c>
      <c r="O23" s="58">
        <f t="shared" si="1"/>
        <v>488.7</v>
      </c>
      <c r="P23" s="57">
        <v>488.7</v>
      </c>
      <c r="Q23" s="57"/>
      <c r="R23" s="58">
        <f t="shared" si="2"/>
        <v>0</v>
      </c>
      <c r="S23" s="57"/>
      <c r="T23" s="57"/>
      <c r="U23" s="58">
        <f t="shared" si="3"/>
        <v>0</v>
      </c>
      <c r="V23" s="57"/>
      <c r="W23" s="57"/>
      <c r="X23" s="64"/>
      <c r="Y23" s="39"/>
      <c r="Z23" s="39"/>
      <c r="AA23" s="39"/>
      <c r="AB23" s="39"/>
      <c r="AC23" s="39"/>
      <c r="AD23" s="39"/>
    </row>
    <row r="24" spans="1:30" s="40" customFormat="1" ht="125.25" customHeight="1">
      <c r="A24" s="64"/>
      <c r="B24" s="65"/>
      <c r="C24" s="123" t="s">
        <v>321</v>
      </c>
      <c r="D24" s="122" t="s">
        <v>323</v>
      </c>
      <c r="E24" s="122" t="s">
        <v>322</v>
      </c>
      <c r="F24" s="133">
        <v>34697</v>
      </c>
      <c r="G24" s="131"/>
      <c r="H24" s="122"/>
      <c r="I24" s="133"/>
      <c r="J24" s="63" t="s">
        <v>137</v>
      </c>
      <c r="K24" s="63" t="s">
        <v>21</v>
      </c>
      <c r="L24" s="57">
        <f>10215.9</f>
        <v>10215.9</v>
      </c>
      <c r="M24" s="57">
        <f>10215.9</f>
        <v>10215.9</v>
      </c>
      <c r="N24" s="57">
        <f>11948.8</f>
        <v>11948.8</v>
      </c>
      <c r="O24" s="58">
        <f t="shared" si="1"/>
        <v>11616.7</v>
      </c>
      <c r="P24" s="57">
        <v>11616.7</v>
      </c>
      <c r="Q24" s="57"/>
      <c r="R24" s="58">
        <f>S24+T24</f>
        <v>11772.5</v>
      </c>
      <c r="S24" s="57">
        <f>11772.5</f>
        <v>11772.5</v>
      </c>
      <c r="T24" s="57"/>
      <c r="U24" s="58">
        <f>V24</f>
        <v>11561.5</v>
      </c>
      <c r="V24" s="57">
        <f>11561.5</f>
        <v>11561.5</v>
      </c>
      <c r="W24" s="57"/>
      <c r="X24" s="64"/>
      <c r="Y24" s="39"/>
      <c r="Z24" s="39"/>
      <c r="AA24" s="39"/>
      <c r="AB24" s="39"/>
      <c r="AC24" s="39"/>
      <c r="AD24" s="39"/>
    </row>
    <row r="25" spans="1:30" s="40" customFormat="1" ht="116.25" customHeight="1">
      <c r="A25" s="64"/>
      <c r="B25" s="65"/>
      <c r="C25" s="134" t="s">
        <v>324</v>
      </c>
      <c r="D25" s="135" t="s">
        <v>35</v>
      </c>
      <c r="E25" s="135" t="s">
        <v>325</v>
      </c>
      <c r="F25" s="136">
        <v>37900</v>
      </c>
      <c r="G25" s="137"/>
      <c r="H25" s="135"/>
      <c r="I25" s="136"/>
      <c r="J25" s="95" t="s">
        <v>326</v>
      </c>
      <c r="K25" s="95" t="s">
        <v>430</v>
      </c>
      <c r="L25" s="79">
        <v>24854.9</v>
      </c>
      <c r="M25" s="79">
        <v>24854.9</v>
      </c>
      <c r="N25" s="79">
        <v>26188</v>
      </c>
      <c r="O25" s="58">
        <f>Q25+P25</f>
        <v>27255.8</v>
      </c>
      <c r="P25" s="79">
        <v>27255.8</v>
      </c>
      <c r="Q25" s="79"/>
      <c r="R25" s="58">
        <f>S25+T25</f>
        <v>26278.3</v>
      </c>
      <c r="S25" s="79">
        <v>26278.3</v>
      </c>
      <c r="T25" s="79"/>
      <c r="U25" s="58">
        <f>V25+W25</f>
        <v>26422.4</v>
      </c>
      <c r="V25" s="79">
        <v>26422.4</v>
      </c>
      <c r="W25" s="79"/>
      <c r="X25" s="64"/>
      <c r="Y25" s="39"/>
      <c r="Z25" s="39"/>
      <c r="AA25" s="39"/>
      <c r="AB25" s="39"/>
      <c r="AC25" s="39"/>
      <c r="AD25" s="39"/>
    </row>
    <row r="26" spans="1:30" s="38" customFormat="1" ht="281.25" customHeight="1">
      <c r="A26" s="49"/>
      <c r="B26" s="43"/>
      <c r="C26" s="138" t="s">
        <v>349</v>
      </c>
      <c r="D26" s="139" t="s">
        <v>350</v>
      </c>
      <c r="E26" s="130" t="s">
        <v>351</v>
      </c>
      <c r="F26" s="140" t="s">
        <v>352</v>
      </c>
      <c r="G26" s="141"/>
      <c r="H26" s="130"/>
      <c r="I26" s="130"/>
      <c r="J26" s="85" t="s">
        <v>22</v>
      </c>
      <c r="K26" s="66" t="s">
        <v>23</v>
      </c>
      <c r="L26" s="61">
        <v>229.7</v>
      </c>
      <c r="M26" s="61">
        <v>229.7</v>
      </c>
      <c r="N26" s="61">
        <v>483.2</v>
      </c>
      <c r="O26" s="58">
        <f>Q26+P26</f>
        <v>1623.1</v>
      </c>
      <c r="P26" s="62">
        <f>459.5+1163.6</f>
        <v>1623.1</v>
      </c>
      <c r="Q26" s="62"/>
      <c r="R26" s="62"/>
      <c r="S26" s="62"/>
      <c r="T26" s="62"/>
      <c r="U26" s="62"/>
      <c r="V26" s="62"/>
      <c r="W26" s="62"/>
      <c r="X26" s="49"/>
      <c r="Y26" s="37"/>
      <c r="Z26" s="37"/>
      <c r="AA26" s="37"/>
      <c r="AB26" s="37"/>
      <c r="AC26" s="37"/>
      <c r="AD26" s="37"/>
    </row>
    <row r="27" spans="1:30" s="38" customFormat="1" ht="330" customHeight="1">
      <c r="A27" s="49"/>
      <c r="B27" s="43"/>
      <c r="C27" s="123" t="s">
        <v>227</v>
      </c>
      <c r="D27" s="122" t="s">
        <v>210</v>
      </c>
      <c r="E27" s="122" t="s">
        <v>211</v>
      </c>
      <c r="F27" s="122" t="s">
        <v>212</v>
      </c>
      <c r="G27" s="131" t="s">
        <v>213</v>
      </c>
      <c r="H27" s="124" t="s">
        <v>214</v>
      </c>
      <c r="I27" s="124" t="s">
        <v>215</v>
      </c>
      <c r="J27" s="68" t="s">
        <v>311</v>
      </c>
      <c r="K27" s="69" t="s">
        <v>312</v>
      </c>
      <c r="L27" s="57">
        <f>615+26</f>
        <v>641</v>
      </c>
      <c r="M27" s="57">
        <f>604.8+18.4</f>
        <v>623.1999999999999</v>
      </c>
      <c r="N27" s="57">
        <f>3025+20</f>
        <v>3045</v>
      </c>
      <c r="O27" s="58">
        <f>Q27+P27</f>
        <v>856.4</v>
      </c>
      <c r="P27" s="57">
        <f>841.4+15</f>
        <v>856.4</v>
      </c>
      <c r="Q27" s="57"/>
      <c r="R27" s="58">
        <f t="shared" si="2"/>
        <v>1092</v>
      </c>
      <c r="S27" s="57">
        <f>1082+10</f>
        <v>1092</v>
      </c>
      <c r="T27" s="57"/>
      <c r="U27" s="58">
        <f t="shared" si="3"/>
        <v>1080.5</v>
      </c>
      <c r="V27" s="57">
        <f>1080.5</f>
        <v>1080.5</v>
      </c>
      <c r="W27" s="57"/>
      <c r="X27" s="49"/>
      <c r="Y27" s="37"/>
      <c r="Z27" s="37"/>
      <c r="AA27" s="37"/>
      <c r="AB27" s="37"/>
      <c r="AC27" s="37"/>
      <c r="AD27" s="37"/>
    </row>
    <row r="28" spans="1:30" s="40" customFormat="1" ht="408.75" customHeight="1">
      <c r="A28" s="64"/>
      <c r="B28" s="65"/>
      <c r="C28" s="123" t="s">
        <v>298</v>
      </c>
      <c r="D28" s="122" t="s">
        <v>300</v>
      </c>
      <c r="E28" s="122" t="s">
        <v>163</v>
      </c>
      <c r="F28" s="122" t="s">
        <v>301</v>
      </c>
      <c r="G28" s="131"/>
      <c r="H28" s="124"/>
      <c r="I28" s="124"/>
      <c r="J28" s="69" t="s">
        <v>22</v>
      </c>
      <c r="K28" s="69" t="s">
        <v>299</v>
      </c>
      <c r="L28" s="57"/>
      <c r="M28" s="57"/>
      <c r="N28" s="57">
        <v>910</v>
      </c>
      <c r="O28" s="58">
        <f>Q28+P28</f>
        <v>27144.6</v>
      </c>
      <c r="P28" s="57"/>
      <c r="Q28" s="57">
        <v>27144.6</v>
      </c>
      <c r="R28" s="67"/>
      <c r="S28" s="57"/>
      <c r="T28" s="57"/>
      <c r="U28" s="67"/>
      <c r="V28" s="57"/>
      <c r="W28" s="57"/>
      <c r="X28" s="64"/>
      <c r="Y28" s="39"/>
      <c r="Z28" s="39"/>
      <c r="AA28" s="39"/>
      <c r="AB28" s="39"/>
      <c r="AC28" s="39"/>
      <c r="AD28" s="39"/>
    </row>
    <row r="29" spans="1:30" s="38" customFormat="1" ht="336.75" customHeight="1">
      <c r="A29" s="49"/>
      <c r="B29" s="43"/>
      <c r="C29" s="123" t="s">
        <v>294</v>
      </c>
      <c r="D29" s="122"/>
      <c r="E29" s="122"/>
      <c r="F29" s="122"/>
      <c r="G29" s="131" t="s">
        <v>295</v>
      </c>
      <c r="H29" s="124" t="s">
        <v>296</v>
      </c>
      <c r="I29" s="124" t="s">
        <v>297</v>
      </c>
      <c r="J29" s="69" t="s">
        <v>23</v>
      </c>
      <c r="K29" s="69" t="s">
        <v>21</v>
      </c>
      <c r="L29" s="57"/>
      <c r="M29" s="57"/>
      <c r="N29" s="57">
        <f>26192.1+236.8+1879.7</f>
        <v>28308.6</v>
      </c>
      <c r="O29" s="58">
        <f>Q29+P29</f>
        <v>236.8</v>
      </c>
      <c r="P29" s="57">
        <v>236.8</v>
      </c>
      <c r="Q29" s="57"/>
      <c r="R29" s="67">
        <f t="shared" si="2"/>
        <v>0</v>
      </c>
      <c r="S29" s="57"/>
      <c r="T29" s="57"/>
      <c r="U29" s="67">
        <f t="shared" si="3"/>
        <v>0</v>
      </c>
      <c r="V29" s="57"/>
      <c r="W29" s="57"/>
      <c r="X29" s="49"/>
      <c r="Y29" s="37"/>
      <c r="Z29" s="37"/>
      <c r="AA29" s="37"/>
      <c r="AB29" s="37"/>
      <c r="AC29" s="37"/>
      <c r="AD29" s="37"/>
    </row>
    <row r="30" spans="1:30" s="38" customFormat="1" ht="251.25" customHeight="1">
      <c r="A30" s="49"/>
      <c r="B30" s="44"/>
      <c r="C30" s="142" t="s">
        <v>228</v>
      </c>
      <c r="D30" s="122" t="s">
        <v>19</v>
      </c>
      <c r="E30" s="122" t="s">
        <v>19</v>
      </c>
      <c r="F30" s="122" t="s">
        <v>19</v>
      </c>
      <c r="G30" s="131" t="s">
        <v>19</v>
      </c>
      <c r="H30" s="122" t="s">
        <v>19</v>
      </c>
      <c r="I30" s="122" t="s">
        <v>19</v>
      </c>
      <c r="J30" s="54" t="s">
        <v>19</v>
      </c>
      <c r="K30" s="54" t="s">
        <v>19</v>
      </c>
      <c r="L30" s="55">
        <f>SUM(L31:L41)</f>
        <v>107113.6</v>
      </c>
      <c r="M30" s="55">
        <f>SUM(M31:M41)</f>
        <v>89924.80000000002</v>
      </c>
      <c r="N30" s="55">
        <f>SUM(N31:N41)</f>
        <v>112706.4</v>
      </c>
      <c r="O30" s="67">
        <f>P30+Q30</f>
        <v>92291.7</v>
      </c>
      <c r="P30" s="55">
        <f>SUM(P31:P41)</f>
        <v>91553.7</v>
      </c>
      <c r="Q30" s="55">
        <f>SUM(Q31:Q41)</f>
        <v>738</v>
      </c>
      <c r="R30" s="67">
        <f t="shared" si="2"/>
        <v>87053.10000000002</v>
      </c>
      <c r="S30" s="55">
        <f>SUM(S31:S41)</f>
        <v>86695.00000000001</v>
      </c>
      <c r="T30" s="55">
        <f>SUM(T31:T41)</f>
        <v>358.1</v>
      </c>
      <c r="U30" s="67">
        <f t="shared" si="3"/>
        <v>89032.40000000001</v>
      </c>
      <c r="V30" s="55">
        <f>SUM(V31:V41)</f>
        <v>88159.3</v>
      </c>
      <c r="W30" s="55">
        <f>SUM(W31:W41)</f>
        <v>873.1</v>
      </c>
      <c r="X30" s="49"/>
      <c r="Y30" s="37"/>
      <c r="Z30" s="37"/>
      <c r="AA30" s="37"/>
      <c r="AB30" s="37"/>
      <c r="AC30" s="37"/>
      <c r="AD30" s="37"/>
    </row>
    <row r="31" spans="1:30" s="38" customFormat="1" ht="189.75" customHeight="1">
      <c r="A31" s="49"/>
      <c r="B31" s="43"/>
      <c r="C31" s="123" t="s">
        <v>229</v>
      </c>
      <c r="D31" s="122" t="s">
        <v>353</v>
      </c>
      <c r="E31" s="122" t="s">
        <v>354</v>
      </c>
      <c r="F31" s="122" t="s">
        <v>331</v>
      </c>
      <c r="G31" s="131" t="s">
        <v>42</v>
      </c>
      <c r="H31" s="122" t="s">
        <v>330</v>
      </c>
      <c r="I31" s="122" t="s">
        <v>43</v>
      </c>
      <c r="J31" s="54" t="s">
        <v>405</v>
      </c>
      <c r="K31" s="54" t="s">
        <v>406</v>
      </c>
      <c r="L31" s="57">
        <f>25623.5+713.9+727.4+2230.7</f>
        <v>29295.500000000004</v>
      </c>
      <c r="M31" s="57">
        <f>24632.6+681.5+689+1567.7</f>
        <v>27570.8</v>
      </c>
      <c r="N31" s="57">
        <f>29765.4+732.3+745.3+97.9+3.4+2328.7</f>
        <v>33673</v>
      </c>
      <c r="O31" s="58">
        <f>P31+Q31</f>
        <v>36613.600000000006</v>
      </c>
      <c r="P31" s="57">
        <f>31042.4+1959.8+1179.4+23.2+5.9+2374.5</f>
        <v>36585.200000000004</v>
      </c>
      <c r="Q31" s="57">
        <f>23.3+5.1</f>
        <v>28.4</v>
      </c>
      <c r="R31" s="58">
        <f t="shared" si="2"/>
        <v>33092.600000000006</v>
      </c>
      <c r="S31" s="57">
        <f>28327.1+1164.9+1173.7+23.2+5.9+2397.8</f>
        <v>33092.600000000006</v>
      </c>
      <c r="T31" s="57"/>
      <c r="U31" s="58">
        <f t="shared" si="3"/>
        <v>33149.100000000006</v>
      </c>
      <c r="V31" s="57">
        <f>28383.4+1164.9+1173.7+23.2+5.9+2398</f>
        <v>33149.100000000006</v>
      </c>
      <c r="W31" s="57"/>
      <c r="X31" s="49"/>
      <c r="Y31" s="37"/>
      <c r="Z31" s="37"/>
      <c r="AA31" s="37"/>
      <c r="AB31" s="37"/>
      <c r="AC31" s="37"/>
      <c r="AD31" s="37"/>
    </row>
    <row r="32" spans="1:30" s="38" customFormat="1" ht="1.5" customHeight="1">
      <c r="A32" s="49"/>
      <c r="B32" s="43"/>
      <c r="C32" s="123" t="s">
        <v>230</v>
      </c>
      <c r="D32" s="129" t="s">
        <v>216</v>
      </c>
      <c r="E32" s="129" t="s">
        <v>217</v>
      </c>
      <c r="F32" s="129" t="s">
        <v>218</v>
      </c>
      <c r="G32" s="131"/>
      <c r="H32" s="122"/>
      <c r="I32" s="122"/>
      <c r="J32" s="54"/>
      <c r="K32" s="54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49"/>
      <c r="Y32" s="37"/>
      <c r="Z32" s="37"/>
      <c r="AA32" s="37"/>
      <c r="AB32" s="37"/>
      <c r="AC32" s="37"/>
      <c r="AD32" s="37"/>
    </row>
    <row r="33" spans="1:30" s="38" customFormat="1" ht="256.5" customHeight="1">
      <c r="A33" s="49"/>
      <c r="B33" s="43"/>
      <c r="C33" s="123" t="s">
        <v>231</v>
      </c>
      <c r="D33" s="122" t="s">
        <v>49</v>
      </c>
      <c r="E33" s="122" t="s">
        <v>327</v>
      </c>
      <c r="F33" s="122" t="s">
        <v>280</v>
      </c>
      <c r="G33" s="131" t="s">
        <v>193</v>
      </c>
      <c r="H33" s="122" t="s">
        <v>194</v>
      </c>
      <c r="I33" s="133" t="s">
        <v>195</v>
      </c>
      <c r="J33" s="54" t="s">
        <v>328</v>
      </c>
      <c r="K33" s="54" t="s">
        <v>329</v>
      </c>
      <c r="L33" s="57">
        <f>29627.6+12150.1+1776.4+17777</f>
        <v>61331.1</v>
      </c>
      <c r="M33" s="57">
        <f>29377.4+11831.2+1775.8+17212.5</f>
        <v>60196.90000000001</v>
      </c>
      <c r="N33" s="57">
        <f>34533.5+12638.3+2088.4+18390.7</f>
        <v>67650.90000000001</v>
      </c>
      <c r="O33" s="58">
        <f>P33+Q33</f>
        <v>53368.7</v>
      </c>
      <c r="P33" s="57">
        <f>15029.3+14181.1+2200.1+21248.6</f>
        <v>52659.1</v>
      </c>
      <c r="Q33" s="57">
        <f>102.8+22.3+19.9+564.6</f>
        <v>709.6</v>
      </c>
      <c r="R33" s="58">
        <f>S33+T33</f>
        <v>52090.00000000001</v>
      </c>
      <c r="S33" s="57">
        <f>13387.1+14364.2+2167.4+21813.2</f>
        <v>51731.90000000001</v>
      </c>
      <c r="T33" s="57">
        <f>106.9+20.2+231</f>
        <v>358.1</v>
      </c>
      <c r="U33" s="70">
        <f>V33+W33</f>
        <v>53927.299999999996</v>
      </c>
      <c r="V33" s="71">
        <f>13863.6+14897.2+2248.6+22044.8</f>
        <v>53054.2</v>
      </c>
      <c r="W33" s="71">
        <f>111.3+21.1+740.7</f>
        <v>873.1</v>
      </c>
      <c r="X33" s="49"/>
      <c r="Y33" s="37"/>
      <c r="Z33" s="37"/>
      <c r="AA33" s="37"/>
      <c r="AB33" s="37"/>
      <c r="AC33" s="37"/>
      <c r="AD33" s="37"/>
    </row>
    <row r="34" spans="1:30" s="38" customFormat="1" ht="75.75" customHeight="1">
      <c r="A34" s="49"/>
      <c r="B34" s="43"/>
      <c r="C34" s="123" t="s">
        <v>265</v>
      </c>
      <c r="D34" s="122" t="s">
        <v>267</v>
      </c>
      <c r="E34" s="122" t="s">
        <v>163</v>
      </c>
      <c r="F34" s="133" t="s">
        <v>268</v>
      </c>
      <c r="G34" s="131"/>
      <c r="H34" s="122"/>
      <c r="I34" s="133"/>
      <c r="J34" s="54" t="s">
        <v>23</v>
      </c>
      <c r="K34" s="54" t="s">
        <v>106</v>
      </c>
      <c r="L34" s="57"/>
      <c r="M34" s="57"/>
      <c r="N34" s="57">
        <f>2172.6+816.1</f>
        <v>2988.7</v>
      </c>
      <c r="O34" s="67"/>
      <c r="P34" s="57"/>
      <c r="Q34" s="57"/>
      <c r="R34" s="67"/>
      <c r="S34" s="57"/>
      <c r="T34" s="57"/>
      <c r="U34" s="67"/>
      <c r="V34" s="57"/>
      <c r="W34" s="57"/>
      <c r="X34" s="49"/>
      <c r="Y34" s="37"/>
      <c r="Z34" s="37"/>
      <c r="AA34" s="37"/>
      <c r="AB34" s="37"/>
      <c r="AC34" s="37"/>
      <c r="AD34" s="37"/>
    </row>
    <row r="35" spans="1:30" s="38" customFormat="1" ht="90" customHeight="1">
      <c r="A35" s="49"/>
      <c r="B35" s="43"/>
      <c r="C35" s="123" t="s">
        <v>266</v>
      </c>
      <c r="D35" s="122" t="s">
        <v>269</v>
      </c>
      <c r="E35" s="122" t="s">
        <v>163</v>
      </c>
      <c r="F35" s="133" t="s">
        <v>270</v>
      </c>
      <c r="G35" s="131"/>
      <c r="H35" s="122"/>
      <c r="I35" s="133"/>
      <c r="J35" s="54" t="s">
        <v>23</v>
      </c>
      <c r="K35" s="54" t="s">
        <v>106</v>
      </c>
      <c r="L35" s="57"/>
      <c r="M35" s="57"/>
      <c r="N35" s="57">
        <f>3591.2+2600</f>
        <v>6191.2</v>
      </c>
      <c r="O35" s="67">
        <f>P35+Q35</f>
        <v>0</v>
      </c>
      <c r="P35" s="57"/>
      <c r="Q35" s="57"/>
      <c r="R35" s="67">
        <f>S35+T35</f>
        <v>0</v>
      </c>
      <c r="S35" s="57"/>
      <c r="T35" s="57"/>
      <c r="U35" s="67">
        <f>V35+W35</f>
        <v>0</v>
      </c>
      <c r="V35" s="57"/>
      <c r="W35" s="57"/>
      <c r="X35" s="49"/>
      <c r="Y35" s="37"/>
      <c r="Z35" s="37"/>
      <c r="AA35" s="37"/>
      <c r="AB35" s="37"/>
      <c r="AC35" s="37"/>
      <c r="AD35" s="37"/>
    </row>
    <row r="36" spans="1:30" s="38" customFormat="1" ht="297" customHeight="1">
      <c r="A36" s="49"/>
      <c r="B36" s="43"/>
      <c r="C36" s="123" t="s">
        <v>232</v>
      </c>
      <c r="D36" s="122" t="s">
        <v>35</v>
      </c>
      <c r="E36" s="122" t="s">
        <v>142</v>
      </c>
      <c r="F36" s="122" t="s">
        <v>281</v>
      </c>
      <c r="G36" s="131" t="s">
        <v>196</v>
      </c>
      <c r="H36" s="122" t="s">
        <v>197</v>
      </c>
      <c r="I36" s="133" t="s">
        <v>198</v>
      </c>
      <c r="J36" s="54" t="s">
        <v>259</v>
      </c>
      <c r="K36" s="54" t="s">
        <v>258</v>
      </c>
      <c r="L36" s="57">
        <f>16401-2030.4-41</f>
        <v>14329.6</v>
      </c>
      <c r="M36" s="57">
        <f>16401-2030.4-41-14329.6</f>
        <v>0</v>
      </c>
      <c r="N36" s="57"/>
      <c r="O36" s="67">
        <f>P36+Q36</f>
        <v>0</v>
      </c>
      <c r="P36" s="57"/>
      <c r="Q36" s="57"/>
      <c r="R36" s="67">
        <f>S36+T36</f>
        <v>0</v>
      </c>
      <c r="S36" s="57"/>
      <c r="T36" s="57"/>
      <c r="U36" s="67">
        <f>V36+W36</f>
        <v>0</v>
      </c>
      <c r="V36" s="57"/>
      <c r="W36" s="57"/>
      <c r="X36" s="49"/>
      <c r="Y36" s="37"/>
      <c r="Z36" s="37"/>
      <c r="AA36" s="37"/>
      <c r="AB36" s="37"/>
      <c r="AC36" s="37"/>
      <c r="AD36" s="37"/>
    </row>
    <row r="37" spans="1:30" s="38" customFormat="1" ht="310.5" customHeight="1">
      <c r="A37" s="49"/>
      <c r="B37" s="43"/>
      <c r="C37" s="123" t="s">
        <v>233</v>
      </c>
      <c r="D37" s="122" t="s">
        <v>178</v>
      </c>
      <c r="E37" s="122" t="s">
        <v>179</v>
      </c>
      <c r="F37" s="122" t="s">
        <v>282</v>
      </c>
      <c r="G37" s="131" t="s">
        <v>180</v>
      </c>
      <c r="H37" s="122" t="s">
        <v>181</v>
      </c>
      <c r="I37" s="122" t="s">
        <v>182</v>
      </c>
      <c r="J37" s="54" t="s">
        <v>141</v>
      </c>
      <c r="K37" s="54" t="s">
        <v>106</v>
      </c>
      <c r="L37" s="57">
        <f>2024.5</f>
        <v>2024.5</v>
      </c>
      <c r="M37" s="57">
        <f>2024.5</f>
        <v>2024.5</v>
      </c>
      <c r="N37" s="57">
        <f>2111.9-4</f>
        <v>2107.9</v>
      </c>
      <c r="O37" s="58">
        <f>P37+Q37</f>
        <v>2204.4</v>
      </c>
      <c r="P37" s="57">
        <v>2204.4</v>
      </c>
      <c r="Q37" s="57"/>
      <c r="R37" s="58">
        <f>S37+T37</f>
        <v>1811.5</v>
      </c>
      <c r="S37" s="57">
        <v>1811.5</v>
      </c>
      <c r="T37" s="57"/>
      <c r="U37" s="58">
        <f>V37+W37</f>
        <v>1871</v>
      </c>
      <c r="V37" s="57">
        <v>1871</v>
      </c>
      <c r="W37" s="57"/>
      <c r="X37" s="49"/>
      <c r="Y37" s="37"/>
      <c r="Z37" s="37"/>
      <c r="AA37" s="37"/>
      <c r="AB37" s="37"/>
      <c r="AC37" s="37"/>
      <c r="AD37" s="37"/>
    </row>
    <row r="38" spans="1:30" s="38" customFormat="1" ht="282.75" customHeight="1">
      <c r="A38" s="49"/>
      <c r="B38" s="43"/>
      <c r="C38" s="123" t="s">
        <v>234</v>
      </c>
      <c r="D38" s="122" t="s">
        <v>32</v>
      </c>
      <c r="E38" s="122" t="s">
        <v>190</v>
      </c>
      <c r="F38" s="122" t="s">
        <v>283</v>
      </c>
      <c r="G38" s="143" t="s">
        <v>33</v>
      </c>
      <c r="H38" s="124" t="s">
        <v>191</v>
      </c>
      <c r="I38" s="124" t="s">
        <v>34</v>
      </c>
      <c r="J38" s="54" t="s">
        <v>342</v>
      </c>
      <c r="K38" s="54" t="s">
        <v>343</v>
      </c>
      <c r="L38" s="57">
        <f>132.9</f>
        <v>132.9</v>
      </c>
      <c r="M38" s="57">
        <f>132.6</f>
        <v>132.6</v>
      </c>
      <c r="N38" s="57">
        <f>74.7+20</f>
        <v>94.7</v>
      </c>
      <c r="O38" s="58">
        <f>P38+Q38</f>
        <v>105</v>
      </c>
      <c r="P38" s="57">
        <f>75.5+29.5</f>
        <v>105</v>
      </c>
      <c r="Q38" s="57"/>
      <c r="R38" s="58">
        <f>S38+T38</f>
        <v>59</v>
      </c>
      <c r="S38" s="57">
        <f>59</f>
        <v>59</v>
      </c>
      <c r="T38" s="57"/>
      <c r="U38" s="70">
        <f>V38+W38</f>
        <v>85</v>
      </c>
      <c r="V38" s="71">
        <f>75+10</f>
        <v>85</v>
      </c>
      <c r="W38" s="57"/>
      <c r="X38" s="49"/>
      <c r="Y38" s="37"/>
      <c r="Z38" s="37"/>
      <c r="AA38" s="37"/>
      <c r="AB38" s="37"/>
      <c r="AC38" s="37"/>
      <c r="AD38" s="37"/>
    </row>
    <row r="39" spans="1:30" s="38" customFormat="1" ht="12.75">
      <c r="A39" s="49"/>
      <c r="B39" s="43"/>
      <c r="C39" s="123" t="s">
        <v>7</v>
      </c>
      <c r="D39" s="129"/>
      <c r="E39" s="129"/>
      <c r="F39" s="129"/>
      <c r="G39" s="131"/>
      <c r="H39" s="122"/>
      <c r="I39" s="122"/>
      <c r="J39" s="54"/>
      <c r="K39" s="54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49"/>
      <c r="Y39" s="37"/>
      <c r="Z39" s="37"/>
      <c r="AA39" s="37"/>
      <c r="AB39" s="37"/>
      <c r="AC39" s="37"/>
      <c r="AD39" s="37"/>
    </row>
    <row r="40" spans="1:30" s="38" customFormat="1" ht="12.75">
      <c r="A40" s="49"/>
      <c r="B40" s="43"/>
      <c r="C40" s="144" t="s">
        <v>7</v>
      </c>
      <c r="D40" s="129"/>
      <c r="E40" s="129"/>
      <c r="F40" s="129"/>
      <c r="G40" s="131"/>
      <c r="H40" s="122"/>
      <c r="I40" s="122"/>
      <c r="J40" s="54"/>
      <c r="K40" s="54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49"/>
      <c r="Y40" s="37"/>
      <c r="Z40" s="37"/>
      <c r="AA40" s="37"/>
      <c r="AB40" s="37"/>
      <c r="AC40" s="37"/>
      <c r="AD40" s="37"/>
    </row>
    <row r="41" spans="1:30" s="38" customFormat="1" ht="12.75">
      <c r="A41" s="49"/>
      <c r="B41" s="43"/>
      <c r="C41" s="144" t="s">
        <v>7</v>
      </c>
      <c r="D41" s="129"/>
      <c r="E41" s="129"/>
      <c r="F41" s="129"/>
      <c r="G41" s="131"/>
      <c r="H41" s="122"/>
      <c r="I41" s="122"/>
      <c r="J41" s="54"/>
      <c r="K41" s="54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49"/>
      <c r="Y41" s="37"/>
      <c r="Z41" s="37"/>
      <c r="AA41" s="37"/>
      <c r="AB41" s="37"/>
      <c r="AC41" s="37"/>
      <c r="AD41" s="37"/>
    </row>
    <row r="42" spans="1:30" s="38" customFormat="1" ht="183.75" customHeight="1">
      <c r="A42" s="49"/>
      <c r="B42" s="107"/>
      <c r="C42" s="117" t="s">
        <v>235</v>
      </c>
      <c r="D42" s="118" t="s">
        <v>19</v>
      </c>
      <c r="E42" s="118" t="s">
        <v>19</v>
      </c>
      <c r="F42" s="118" t="s">
        <v>19</v>
      </c>
      <c r="G42" s="145" t="s">
        <v>19</v>
      </c>
      <c r="H42" s="118" t="s">
        <v>19</v>
      </c>
      <c r="I42" s="118" t="s">
        <v>19</v>
      </c>
      <c r="J42" s="108" t="s">
        <v>19</v>
      </c>
      <c r="K42" s="108" t="s">
        <v>19</v>
      </c>
      <c r="L42" s="96">
        <f>L44</f>
        <v>141900.3</v>
      </c>
      <c r="M42" s="96">
        <f aca="true" t="shared" si="4" ref="M42:W42">M44</f>
        <v>141155.9</v>
      </c>
      <c r="N42" s="96">
        <f t="shared" si="4"/>
        <v>139732.79999999996</v>
      </c>
      <c r="O42" s="96">
        <f t="shared" si="4"/>
        <v>143972.49999999997</v>
      </c>
      <c r="P42" s="96">
        <f t="shared" si="4"/>
        <v>143249.5</v>
      </c>
      <c r="Q42" s="96">
        <f t="shared" si="4"/>
        <v>723</v>
      </c>
      <c r="R42" s="96">
        <f t="shared" si="4"/>
        <v>145562.39999999997</v>
      </c>
      <c r="S42" s="96">
        <f t="shared" si="4"/>
        <v>145562.39999999997</v>
      </c>
      <c r="T42" s="96">
        <f t="shared" si="4"/>
        <v>0</v>
      </c>
      <c r="U42" s="96">
        <f t="shared" si="4"/>
        <v>146225.40000000002</v>
      </c>
      <c r="V42" s="96">
        <f t="shared" si="4"/>
        <v>146225.40000000002</v>
      </c>
      <c r="W42" s="96">
        <f t="shared" si="4"/>
        <v>0</v>
      </c>
      <c r="X42" s="72"/>
      <c r="Y42" s="37"/>
      <c r="Z42" s="37"/>
      <c r="AA42" s="37"/>
      <c r="AB42" s="37"/>
      <c r="AC42" s="37"/>
      <c r="AD42" s="37"/>
    </row>
    <row r="43" spans="1:30" s="38" customFormat="1" ht="12.75">
      <c r="A43" s="49"/>
      <c r="B43" s="107"/>
      <c r="C43" s="119"/>
      <c r="D43" s="120"/>
      <c r="E43" s="120"/>
      <c r="F43" s="120"/>
      <c r="G43" s="146"/>
      <c r="H43" s="120"/>
      <c r="I43" s="120"/>
      <c r="J43" s="109"/>
      <c r="K43" s="109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72"/>
      <c r="Y43" s="37"/>
      <c r="Z43" s="37"/>
      <c r="AA43" s="37"/>
      <c r="AB43" s="37"/>
      <c r="AC43" s="37"/>
      <c r="AD43" s="37"/>
    </row>
    <row r="44" spans="1:30" s="38" customFormat="1" ht="66" customHeight="1">
      <c r="A44" s="49"/>
      <c r="B44" s="43"/>
      <c r="C44" s="121" t="s">
        <v>279</v>
      </c>
      <c r="D44" s="122" t="s">
        <v>19</v>
      </c>
      <c r="E44" s="122" t="s">
        <v>19</v>
      </c>
      <c r="F44" s="122" t="s">
        <v>19</v>
      </c>
      <c r="G44" s="131" t="s">
        <v>19</v>
      </c>
      <c r="H44" s="122" t="s">
        <v>19</v>
      </c>
      <c r="I44" s="122" t="s">
        <v>19</v>
      </c>
      <c r="J44" s="54" t="s">
        <v>19</v>
      </c>
      <c r="K44" s="54" t="s">
        <v>19</v>
      </c>
      <c r="L44" s="57">
        <f>SUM(L46:L76)</f>
        <v>141900.3</v>
      </c>
      <c r="M44" s="57">
        <f aca="true" t="shared" si="5" ref="M44:W44">SUM(M46:M76)</f>
        <v>141155.9</v>
      </c>
      <c r="N44" s="57">
        <f t="shared" si="5"/>
        <v>139732.79999999996</v>
      </c>
      <c r="O44" s="57">
        <f t="shared" si="5"/>
        <v>143972.49999999997</v>
      </c>
      <c r="P44" s="57">
        <f t="shared" si="5"/>
        <v>143249.5</v>
      </c>
      <c r="Q44" s="57">
        <f t="shared" si="5"/>
        <v>723</v>
      </c>
      <c r="R44" s="57">
        <f t="shared" si="5"/>
        <v>145562.39999999997</v>
      </c>
      <c r="S44" s="57">
        <f t="shared" si="5"/>
        <v>145562.39999999997</v>
      </c>
      <c r="T44" s="57">
        <f t="shared" si="5"/>
        <v>0</v>
      </c>
      <c r="U44" s="57">
        <f t="shared" si="5"/>
        <v>146225.40000000002</v>
      </c>
      <c r="V44" s="57">
        <f t="shared" si="5"/>
        <v>146225.40000000002</v>
      </c>
      <c r="W44" s="57">
        <f t="shared" si="5"/>
        <v>0</v>
      </c>
      <c r="X44" s="72"/>
      <c r="Y44" s="37"/>
      <c r="Z44" s="37"/>
      <c r="AA44" s="37"/>
      <c r="AB44" s="37"/>
      <c r="AC44" s="37"/>
      <c r="AD44" s="37"/>
    </row>
    <row r="45" spans="1:30" s="38" customFormat="1" ht="18.75" customHeight="1">
      <c r="A45" s="49"/>
      <c r="B45" s="43"/>
      <c r="C45" s="144" t="s">
        <v>220</v>
      </c>
      <c r="D45" s="122"/>
      <c r="E45" s="122"/>
      <c r="F45" s="122"/>
      <c r="G45" s="131"/>
      <c r="H45" s="122"/>
      <c r="I45" s="122"/>
      <c r="J45" s="54"/>
      <c r="K45" s="54"/>
      <c r="L45" s="57"/>
      <c r="M45" s="57"/>
      <c r="N45" s="57"/>
      <c r="O45" s="67"/>
      <c r="P45" s="57"/>
      <c r="Q45" s="57"/>
      <c r="R45" s="67"/>
      <c r="S45" s="57"/>
      <c r="T45" s="57"/>
      <c r="U45" s="67"/>
      <c r="V45" s="57"/>
      <c r="W45" s="57"/>
      <c r="X45" s="72"/>
      <c r="Y45" s="37"/>
      <c r="Z45" s="37"/>
      <c r="AA45" s="37"/>
      <c r="AB45" s="37"/>
      <c r="AC45" s="37"/>
      <c r="AD45" s="37"/>
    </row>
    <row r="46" spans="1:30" s="38" customFormat="1" ht="408.75" customHeight="1">
      <c r="A46" s="49"/>
      <c r="B46" s="43"/>
      <c r="C46" s="128" t="s">
        <v>407</v>
      </c>
      <c r="D46" s="126" t="s">
        <v>203</v>
      </c>
      <c r="E46" s="126" t="s">
        <v>204</v>
      </c>
      <c r="F46" s="126" t="s">
        <v>205</v>
      </c>
      <c r="G46" s="147" t="s">
        <v>206</v>
      </c>
      <c r="H46" s="148" t="s">
        <v>207</v>
      </c>
      <c r="I46" s="126" t="s">
        <v>208</v>
      </c>
      <c r="J46" s="63" t="s">
        <v>209</v>
      </c>
      <c r="K46" s="63" t="s">
        <v>21</v>
      </c>
      <c r="L46" s="93">
        <v>32166</v>
      </c>
      <c r="M46" s="62">
        <v>32119</v>
      </c>
      <c r="N46" s="62">
        <v>31598.9</v>
      </c>
      <c r="O46" s="62">
        <v>34219.1</v>
      </c>
      <c r="P46" s="62">
        <v>33741.3</v>
      </c>
      <c r="Q46" s="62">
        <v>477.8</v>
      </c>
      <c r="R46" s="62">
        <v>34219.1</v>
      </c>
      <c r="S46" s="62">
        <v>34219.1</v>
      </c>
      <c r="T46" s="62">
        <v>0</v>
      </c>
      <c r="U46" s="62">
        <v>34219.1</v>
      </c>
      <c r="V46" s="62">
        <v>34219.1</v>
      </c>
      <c r="W46" s="62">
        <v>0</v>
      </c>
      <c r="X46" s="72"/>
      <c r="Y46" s="37"/>
      <c r="Z46" s="37"/>
      <c r="AA46" s="37"/>
      <c r="AB46" s="37"/>
      <c r="AC46" s="37"/>
      <c r="AD46" s="37"/>
    </row>
    <row r="47" spans="1:30" s="38" customFormat="1" ht="407.25" customHeight="1">
      <c r="A47" s="49"/>
      <c r="B47" s="43"/>
      <c r="C47" s="123" t="s">
        <v>236</v>
      </c>
      <c r="D47" s="122" t="s">
        <v>36</v>
      </c>
      <c r="E47" s="122" t="s">
        <v>37</v>
      </c>
      <c r="F47" s="122" t="s">
        <v>38</v>
      </c>
      <c r="G47" s="131" t="s">
        <v>39</v>
      </c>
      <c r="H47" s="149" t="s">
        <v>40</v>
      </c>
      <c r="I47" s="122" t="s">
        <v>41</v>
      </c>
      <c r="J47" s="63" t="s">
        <v>21</v>
      </c>
      <c r="K47" s="63" t="s">
        <v>22</v>
      </c>
      <c r="L47" s="57">
        <f>432.2+4.7+16</f>
        <v>452.9</v>
      </c>
      <c r="M47" s="57">
        <f>432.2+4.7+16</f>
        <v>452.9</v>
      </c>
      <c r="N47" s="57">
        <f>454.4+4.3</f>
        <v>458.7</v>
      </c>
      <c r="O47" s="58">
        <f>P47+Q47</f>
        <v>472</v>
      </c>
      <c r="P47" s="57">
        <v>472</v>
      </c>
      <c r="Q47" s="57"/>
      <c r="R47" s="58">
        <f>S47+T47</f>
        <v>472</v>
      </c>
      <c r="S47" s="57">
        <v>472</v>
      </c>
      <c r="T47" s="57"/>
      <c r="U47" s="58">
        <f>V47+W47</f>
        <v>472</v>
      </c>
      <c r="V47" s="57">
        <v>472</v>
      </c>
      <c r="W47" s="57"/>
      <c r="X47" s="72"/>
      <c r="Y47" s="37"/>
      <c r="Z47" s="37"/>
      <c r="AA47" s="37"/>
      <c r="AB47" s="37"/>
      <c r="AC47" s="37"/>
      <c r="AD47" s="37"/>
    </row>
    <row r="48" spans="1:30" s="38" customFormat="1" ht="0.75" customHeight="1">
      <c r="A48" s="49"/>
      <c r="B48" s="43"/>
      <c r="C48" s="123" t="s">
        <v>237</v>
      </c>
      <c r="D48" s="122" t="s">
        <v>203</v>
      </c>
      <c r="E48" s="122" t="s">
        <v>204</v>
      </c>
      <c r="F48" s="122" t="s">
        <v>205</v>
      </c>
      <c r="G48" s="131" t="s">
        <v>206</v>
      </c>
      <c r="H48" s="149" t="s">
        <v>207</v>
      </c>
      <c r="I48" s="122" t="s">
        <v>208</v>
      </c>
      <c r="J48" s="63" t="s">
        <v>209</v>
      </c>
      <c r="K48" s="63" t="s">
        <v>106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72"/>
      <c r="Y48" s="37"/>
      <c r="Z48" s="37"/>
      <c r="AA48" s="37"/>
      <c r="AB48" s="37"/>
      <c r="AC48" s="37"/>
      <c r="AD48" s="37"/>
    </row>
    <row r="49" spans="1:30" s="38" customFormat="1" ht="168" customHeight="1">
      <c r="A49" s="73" t="s">
        <v>355</v>
      </c>
      <c r="B49" s="74"/>
      <c r="C49" s="150" t="s">
        <v>355</v>
      </c>
      <c r="D49" s="151"/>
      <c r="E49" s="151"/>
      <c r="F49" s="151"/>
      <c r="G49" s="152" t="s">
        <v>356</v>
      </c>
      <c r="H49" s="151" t="s">
        <v>357</v>
      </c>
      <c r="I49" s="151" t="s">
        <v>358</v>
      </c>
      <c r="J49" s="92" t="s">
        <v>22</v>
      </c>
      <c r="K49" s="92" t="s">
        <v>23</v>
      </c>
      <c r="L49" s="75">
        <v>4410.1</v>
      </c>
      <c r="M49" s="75">
        <v>4410.1</v>
      </c>
      <c r="N49" s="75">
        <v>5096.6</v>
      </c>
      <c r="O49" s="75">
        <v>4695.5</v>
      </c>
      <c r="P49" s="75">
        <v>4695.5</v>
      </c>
      <c r="Q49" s="75"/>
      <c r="R49" s="75">
        <v>4595.5</v>
      </c>
      <c r="S49" s="75">
        <v>4595.5</v>
      </c>
      <c r="T49" s="76"/>
      <c r="U49" s="75">
        <v>4595.5</v>
      </c>
      <c r="V49" s="75">
        <v>4595.5</v>
      </c>
      <c r="W49" s="76"/>
      <c r="X49" s="72"/>
      <c r="Y49" s="37"/>
      <c r="Z49" s="37"/>
      <c r="AA49" s="37"/>
      <c r="AB49" s="37"/>
      <c r="AC49" s="37"/>
      <c r="AD49" s="37"/>
    </row>
    <row r="50" spans="1:30" s="38" customFormat="1" ht="282" customHeight="1">
      <c r="A50" s="77"/>
      <c r="B50" s="74"/>
      <c r="C50" s="152" t="s">
        <v>408</v>
      </c>
      <c r="D50" s="126" t="s">
        <v>35</v>
      </c>
      <c r="E50" s="126" t="s">
        <v>409</v>
      </c>
      <c r="F50" s="126" t="s">
        <v>281</v>
      </c>
      <c r="G50" s="147" t="s">
        <v>410</v>
      </c>
      <c r="H50" s="148" t="s">
        <v>411</v>
      </c>
      <c r="I50" s="126" t="s">
        <v>412</v>
      </c>
      <c r="J50" s="63" t="s">
        <v>209</v>
      </c>
      <c r="K50" s="63" t="s">
        <v>299</v>
      </c>
      <c r="L50" s="93">
        <v>515.1</v>
      </c>
      <c r="M50" s="62">
        <v>502.8</v>
      </c>
      <c r="N50" s="62">
        <v>517.2</v>
      </c>
      <c r="O50" s="62">
        <v>537.7</v>
      </c>
      <c r="P50" s="62">
        <v>533.1</v>
      </c>
      <c r="Q50" s="62">
        <v>4.6</v>
      </c>
      <c r="R50" s="62">
        <v>548.2</v>
      </c>
      <c r="S50" s="62">
        <v>548.2</v>
      </c>
      <c r="T50" s="62">
        <v>0</v>
      </c>
      <c r="U50" s="62">
        <v>559.5</v>
      </c>
      <c r="V50" s="62">
        <v>559.5</v>
      </c>
      <c r="W50" s="62">
        <v>0</v>
      </c>
      <c r="X50" s="72"/>
      <c r="Y50" s="37"/>
      <c r="Z50" s="37"/>
      <c r="AA50" s="37"/>
      <c r="AB50" s="37"/>
      <c r="AC50" s="37"/>
      <c r="AD50" s="37"/>
    </row>
    <row r="51" spans="1:30" s="38" customFormat="1" ht="226.5" customHeight="1">
      <c r="A51" s="77"/>
      <c r="B51" s="74"/>
      <c r="C51" s="128" t="s">
        <v>413</v>
      </c>
      <c r="D51" s="126" t="s">
        <v>35</v>
      </c>
      <c r="E51" s="126" t="s">
        <v>202</v>
      </c>
      <c r="F51" s="126" t="s">
        <v>123</v>
      </c>
      <c r="G51" s="153" t="s">
        <v>414</v>
      </c>
      <c r="H51" s="154" t="s">
        <v>163</v>
      </c>
      <c r="I51" s="154">
        <v>39332</v>
      </c>
      <c r="J51" s="63" t="s">
        <v>209</v>
      </c>
      <c r="K51" s="63" t="s">
        <v>299</v>
      </c>
      <c r="L51" s="93">
        <v>449.8</v>
      </c>
      <c r="M51" s="62">
        <v>449.8</v>
      </c>
      <c r="N51" s="62">
        <v>518.8</v>
      </c>
      <c r="O51" s="62">
        <v>468.7</v>
      </c>
      <c r="P51" s="62">
        <v>464.3</v>
      </c>
      <c r="Q51" s="62">
        <v>4.4</v>
      </c>
      <c r="R51" s="62">
        <v>468.7</v>
      </c>
      <c r="S51" s="62">
        <v>468.7</v>
      </c>
      <c r="T51" s="62" t="s">
        <v>396</v>
      </c>
      <c r="U51" s="62">
        <v>468.7</v>
      </c>
      <c r="V51" s="62">
        <v>468.7</v>
      </c>
      <c r="W51" s="62">
        <v>0</v>
      </c>
      <c r="X51" s="72"/>
      <c r="Y51" s="37"/>
      <c r="Z51" s="37"/>
      <c r="AA51" s="37"/>
      <c r="AB51" s="37"/>
      <c r="AC51" s="37"/>
      <c r="AD51" s="37"/>
    </row>
    <row r="52" spans="1:30" s="38" customFormat="1" ht="409.5" customHeight="1">
      <c r="A52" s="77"/>
      <c r="B52" s="74"/>
      <c r="C52" s="128" t="s">
        <v>237</v>
      </c>
      <c r="D52" s="126" t="s">
        <v>203</v>
      </c>
      <c r="E52" s="126" t="s">
        <v>204</v>
      </c>
      <c r="F52" s="126" t="s">
        <v>205</v>
      </c>
      <c r="G52" s="147" t="s">
        <v>206</v>
      </c>
      <c r="H52" s="148" t="s">
        <v>207</v>
      </c>
      <c r="I52" s="126" t="s">
        <v>208</v>
      </c>
      <c r="J52" s="63" t="s">
        <v>209</v>
      </c>
      <c r="K52" s="63" t="s">
        <v>106</v>
      </c>
      <c r="L52" s="93">
        <v>66298.3</v>
      </c>
      <c r="M52" s="62">
        <v>65681.8</v>
      </c>
      <c r="N52" s="62">
        <v>58656.1</v>
      </c>
      <c r="O52" s="62">
        <v>61470.7</v>
      </c>
      <c r="P52" s="62">
        <v>61234.5</v>
      </c>
      <c r="Q52" s="62">
        <v>236.2</v>
      </c>
      <c r="R52" s="62">
        <v>61470.7</v>
      </c>
      <c r="S52" s="62">
        <v>61470.7</v>
      </c>
      <c r="T52" s="62" t="s">
        <v>396</v>
      </c>
      <c r="U52" s="62">
        <v>61470.7</v>
      </c>
      <c r="V52" s="62">
        <v>61470.7</v>
      </c>
      <c r="W52" s="62" t="s">
        <v>396</v>
      </c>
      <c r="X52" s="72"/>
      <c r="Y52" s="37"/>
      <c r="Z52" s="37"/>
      <c r="AA52" s="37"/>
      <c r="AB52" s="37"/>
      <c r="AC52" s="37"/>
      <c r="AD52" s="37"/>
    </row>
    <row r="53" spans="1:30" s="38" customFormat="1" ht="408.75" customHeight="1">
      <c r="A53" s="77"/>
      <c r="B53" s="74"/>
      <c r="C53" s="128" t="s">
        <v>415</v>
      </c>
      <c r="D53" s="126" t="s">
        <v>416</v>
      </c>
      <c r="E53" s="126" t="s">
        <v>417</v>
      </c>
      <c r="F53" s="126" t="s">
        <v>418</v>
      </c>
      <c r="G53" s="147" t="s">
        <v>419</v>
      </c>
      <c r="H53" s="148" t="s">
        <v>420</v>
      </c>
      <c r="I53" s="126" t="s">
        <v>421</v>
      </c>
      <c r="J53" s="63" t="s">
        <v>24</v>
      </c>
      <c r="K53" s="63" t="s">
        <v>22</v>
      </c>
      <c r="L53" s="93">
        <v>2015.5</v>
      </c>
      <c r="M53" s="62">
        <v>2015.5</v>
      </c>
      <c r="N53" s="62">
        <v>2063.9</v>
      </c>
      <c r="O53" s="62">
        <v>2011.3</v>
      </c>
      <c r="P53" s="62">
        <v>2011.3</v>
      </c>
      <c r="Q53" s="62" t="s">
        <v>396</v>
      </c>
      <c r="R53" s="62">
        <v>2011.3</v>
      </c>
      <c r="S53" s="62">
        <v>2011.3</v>
      </c>
      <c r="T53" s="62" t="s">
        <v>396</v>
      </c>
      <c r="U53" s="62">
        <v>2011.3</v>
      </c>
      <c r="V53" s="62">
        <v>2011.3</v>
      </c>
      <c r="W53" s="62" t="s">
        <v>396</v>
      </c>
      <c r="X53" s="72"/>
      <c r="Y53" s="37"/>
      <c r="Z53" s="37"/>
      <c r="AA53" s="37"/>
      <c r="AB53" s="37"/>
      <c r="AC53" s="37"/>
      <c r="AD53" s="37"/>
    </row>
    <row r="54" spans="1:30" s="38" customFormat="1" ht="284.25" customHeight="1">
      <c r="A54" s="77"/>
      <c r="B54" s="74"/>
      <c r="C54" s="155" t="s">
        <v>359</v>
      </c>
      <c r="D54" s="130"/>
      <c r="E54" s="130"/>
      <c r="F54" s="130"/>
      <c r="G54" s="156" t="s">
        <v>360</v>
      </c>
      <c r="H54" s="140" t="s">
        <v>361</v>
      </c>
      <c r="I54" s="140" t="s">
        <v>362</v>
      </c>
      <c r="J54" s="85" t="s">
        <v>22</v>
      </c>
      <c r="K54" s="66" t="s">
        <v>23</v>
      </c>
      <c r="L54" s="75">
        <v>969.7</v>
      </c>
      <c r="M54" s="61">
        <v>969.7</v>
      </c>
      <c r="N54" s="61">
        <v>1066.5</v>
      </c>
      <c r="O54" s="75">
        <v>1093.2</v>
      </c>
      <c r="P54" s="61">
        <v>1093.2</v>
      </c>
      <c r="Q54" s="62"/>
      <c r="R54" s="75">
        <v>1063.4</v>
      </c>
      <c r="S54" s="61">
        <v>1063.4</v>
      </c>
      <c r="T54" s="62"/>
      <c r="U54" s="75">
        <v>1030.1</v>
      </c>
      <c r="V54" s="61">
        <v>1030.1</v>
      </c>
      <c r="W54" s="66"/>
      <c r="X54" s="72"/>
      <c r="Y54" s="37"/>
      <c r="Z54" s="37"/>
      <c r="AA54" s="37"/>
      <c r="AB54" s="37"/>
      <c r="AC54" s="37"/>
      <c r="AD54" s="37"/>
    </row>
    <row r="55" spans="1:30" s="38" customFormat="1" ht="279.75" customHeight="1">
      <c r="A55" s="77"/>
      <c r="B55" s="74"/>
      <c r="C55" s="155" t="s">
        <v>363</v>
      </c>
      <c r="D55" s="157"/>
      <c r="E55" s="130"/>
      <c r="F55" s="130"/>
      <c r="G55" s="156" t="s">
        <v>360</v>
      </c>
      <c r="H55" s="140" t="s">
        <v>361</v>
      </c>
      <c r="I55" s="140" t="s">
        <v>364</v>
      </c>
      <c r="J55" s="85" t="s">
        <v>22</v>
      </c>
      <c r="K55" s="66" t="s">
        <v>23</v>
      </c>
      <c r="L55" s="75">
        <v>61.1</v>
      </c>
      <c r="M55" s="61">
        <v>61.1</v>
      </c>
      <c r="N55" s="61">
        <v>1335.4</v>
      </c>
      <c r="O55" s="75">
        <v>2831.4</v>
      </c>
      <c r="P55" s="61">
        <v>2831.4</v>
      </c>
      <c r="Q55" s="62"/>
      <c r="R55" s="78">
        <v>2831.4</v>
      </c>
      <c r="S55" s="75">
        <v>2831.4</v>
      </c>
      <c r="T55" s="62"/>
      <c r="U55" s="75">
        <v>2887.7</v>
      </c>
      <c r="V55" s="61">
        <v>2887.7</v>
      </c>
      <c r="W55" s="66"/>
      <c r="X55" s="72"/>
      <c r="Y55" s="37"/>
      <c r="Z55" s="37"/>
      <c r="AA55" s="37"/>
      <c r="AB55" s="37"/>
      <c r="AC55" s="37"/>
      <c r="AD55" s="37"/>
    </row>
    <row r="56" spans="1:30" s="38" customFormat="1" ht="285" customHeight="1">
      <c r="A56" s="77"/>
      <c r="B56" s="74"/>
      <c r="C56" s="155" t="s">
        <v>365</v>
      </c>
      <c r="D56" s="130"/>
      <c r="E56" s="130"/>
      <c r="F56" s="130"/>
      <c r="G56" s="156" t="s">
        <v>360</v>
      </c>
      <c r="H56" s="140" t="s">
        <v>361</v>
      </c>
      <c r="I56" s="140" t="s">
        <v>366</v>
      </c>
      <c r="J56" s="85" t="s">
        <v>22</v>
      </c>
      <c r="K56" s="66" t="s">
        <v>23</v>
      </c>
      <c r="L56" s="75">
        <v>6.6</v>
      </c>
      <c r="M56" s="61">
        <v>6.6</v>
      </c>
      <c r="N56" s="61">
        <v>4.1</v>
      </c>
      <c r="O56" s="75"/>
      <c r="P56" s="61"/>
      <c r="Q56" s="62"/>
      <c r="R56" s="75"/>
      <c r="S56" s="61"/>
      <c r="T56" s="62"/>
      <c r="U56" s="75"/>
      <c r="V56" s="61"/>
      <c r="W56" s="66"/>
      <c r="X56" s="72"/>
      <c r="Y56" s="37"/>
      <c r="Z56" s="37"/>
      <c r="AA56" s="37"/>
      <c r="AB56" s="37"/>
      <c r="AC56" s="37"/>
      <c r="AD56" s="37"/>
    </row>
    <row r="57" spans="1:30" s="38" customFormat="1" ht="303.75" customHeight="1">
      <c r="A57" s="77"/>
      <c r="B57" s="74"/>
      <c r="C57" s="128" t="s">
        <v>422</v>
      </c>
      <c r="D57" s="126" t="s">
        <v>423</v>
      </c>
      <c r="E57" s="126" t="s">
        <v>424</v>
      </c>
      <c r="F57" s="158" t="s">
        <v>425</v>
      </c>
      <c r="G57" s="147" t="s">
        <v>426</v>
      </c>
      <c r="H57" s="148" t="s">
        <v>427</v>
      </c>
      <c r="I57" s="126" t="s">
        <v>428</v>
      </c>
      <c r="J57" s="54" t="s">
        <v>209</v>
      </c>
      <c r="K57" s="54" t="s">
        <v>209</v>
      </c>
      <c r="L57" s="56">
        <v>102.2</v>
      </c>
      <c r="M57" s="62">
        <v>102.2</v>
      </c>
      <c r="N57" s="62">
        <v>256.7</v>
      </c>
      <c r="O57" s="62">
        <v>267</v>
      </c>
      <c r="P57" s="62">
        <v>267</v>
      </c>
      <c r="Q57" s="62">
        <v>0</v>
      </c>
      <c r="R57" s="62">
        <v>267</v>
      </c>
      <c r="S57" s="62">
        <v>267</v>
      </c>
      <c r="T57" s="62" t="s">
        <v>396</v>
      </c>
      <c r="U57" s="62">
        <v>267</v>
      </c>
      <c r="V57" s="62">
        <v>267</v>
      </c>
      <c r="W57" s="62">
        <v>0</v>
      </c>
      <c r="X57" s="72"/>
      <c r="Y57" s="37"/>
      <c r="Z57" s="37"/>
      <c r="AA57" s="37"/>
      <c r="AB57" s="37"/>
      <c r="AC57" s="37"/>
      <c r="AD57" s="37"/>
    </row>
    <row r="58" spans="1:30" s="38" customFormat="1" ht="403.5" customHeight="1">
      <c r="A58" s="77"/>
      <c r="B58" s="74"/>
      <c r="C58" s="155" t="s">
        <v>367</v>
      </c>
      <c r="D58" s="130"/>
      <c r="E58" s="130"/>
      <c r="F58" s="159"/>
      <c r="G58" s="160" t="s">
        <v>368</v>
      </c>
      <c r="H58" s="130" t="s">
        <v>361</v>
      </c>
      <c r="I58" s="140" t="s">
        <v>369</v>
      </c>
      <c r="J58" s="85" t="s">
        <v>22</v>
      </c>
      <c r="K58" s="66" t="s">
        <v>23</v>
      </c>
      <c r="L58" s="75">
        <v>201.6</v>
      </c>
      <c r="M58" s="61">
        <v>191.8</v>
      </c>
      <c r="N58" s="60">
        <v>135.7</v>
      </c>
      <c r="O58" s="75">
        <v>138.5</v>
      </c>
      <c r="P58" s="61">
        <v>138.5</v>
      </c>
      <c r="Q58" s="62"/>
      <c r="R58" s="75">
        <v>138.5</v>
      </c>
      <c r="S58" s="61">
        <v>138.5</v>
      </c>
      <c r="T58" s="62"/>
      <c r="U58" s="75">
        <v>138.5</v>
      </c>
      <c r="V58" s="61">
        <v>138.5</v>
      </c>
      <c r="W58" s="66"/>
      <c r="X58" s="72"/>
      <c r="Y58" s="37"/>
      <c r="Z58" s="37"/>
      <c r="AA58" s="37"/>
      <c r="AB58" s="37"/>
      <c r="AC58" s="37"/>
      <c r="AD58" s="37"/>
    </row>
    <row r="59" spans="1:30" s="38" customFormat="1" ht="243" customHeight="1">
      <c r="A59" s="77"/>
      <c r="B59" s="74"/>
      <c r="C59" s="155" t="s">
        <v>370</v>
      </c>
      <c r="D59" s="139" t="s">
        <v>371</v>
      </c>
      <c r="E59" s="130" t="s">
        <v>361</v>
      </c>
      <c r="F59" s="140" t="s">
        <v>372</v>
      </c>
      <c r="G59" s="156" t="s">
        <v>373</v>
      </c>
      <c r="H59" s="130" t="s">
        <v>361</v>
      </c>
      <c r="I59" s="140" t="s">
        <v>372</v>
      </c>
      <c r="J59" s="85" t="s">
        <v>22</v>
      </c>
      <c r="K59" s="66" t="s">
        <v>23</v>
      </c>
      <c r="L59" s="75">
        <v>3821.8</v>
      </c>
      <c r="M59" s="61">
        <v>3821.8</v>
      </c>
      <c r="N59" s="61">
        <v>4867.4</v>
      </c>
      <c r="O59" s="75">
        <v>3831.7</v>
      </c>
      <c r="P59" s="61">
        <v>3831.7</v>
      </c>
      <c r="Q59" s="62"/>
      <c r="R59" s="75">
        <v>3831.7</v>
      </c>
      <c r="S59" s="61">
        <v>3831.7</v>
      </c>
      <c r="T59" s="62"/>
      <c r="U59" s="75">
        <v>3831.7</v>
      </c>
      <c r="V59" s="61">
        <v>3831.7</v>
      </c>
      <c r="W59" s="66"/>
      <c r="X59" s="72"/>
      <c r="Y59" s="37"/>
      <c r="Z59" s="37"/>
      <c r="AA59" s="37"/>
      <c r="AB59" s="37"/>
      <c r="AC59" s="37"/>
      <c r="AD59" s="37"/>
    </row>
    <row r="60" spans="1:30" s="38" customFormat="1" ht="383.25" customHeight="1">
      <c r="A60" s="49"/>
      <c r="B60" s="43"/>
      <c r="C60" s="123" t="s">
        <v>245</v>
      </c>
      <c r="D60" s="122" t="s">
        <v>246</v>
      </c>
      <c r="E60" s="122"/>
      <c r="F60" s="122" t="s">
        <v>247</v>
      </c>
      <c r="G60" s="131" t="s">
        <v>248</v>
      </c>
      <c r="H60" s="122"/>
      <c r="I60" s="122" t="s">
        <v>249</v>
      </c>
      <c r="J60" s="54" t="s">
        <v>24</v>
      </c>
      <c r="K60" s="54" t="s">
        <v>22</v>
      </c>
      <c r="L60" s="57">
        <f>74.4+70.6</f>
        <v>145</v>
      </c>
      <c r="M60" s="57">
        <f>74.4+70.6</f>
        <v>145</v>
      </c>
      <c r="N60" s="57">
        <v>125.7</v>
      </c>
      <c r="O60" s="79">
        <f>P60+Q60</f>
        <v>0</v>
      </c>
      <c r="P60" s="57"/>
      <c r="Q60" s="57"/>
      <c r="R60" s="79">
        <f>S60+T60</f>
        <v>110.6</v>
      </c>
      <c r="S60" s="57">
        <v>110.6</v>
      </c>
      <c r="T60" s="57"/>
      <c r="U60" s="79">
        <f>V60+W60</f>
        <v>0</v>
      </c>
      <c r="V60" s="57"/>
      <c r="W60" s="57"/>
      <c r="X60" s="72"/>
      <c r="Y60" s="37"/>
      <c r="Z60" s="37"/>
      <c r="AA60" s="37"/>
      <c r="AB60" s="37"/>
      <c r="AC60" s="37"/>
      <c r="AD60" s="37"/>
    </row>
    <row r="61" spans="1:30" s="38" customFormat="1" ht="179.25" customHeight="1">
      <c r="A61" s="49"/>
      <c r="B61" s="43"/>
      <c r="C61" s="155" t="s">
        <v>374</v>
      </c>
      <c r="D61" s="130"/>
      <c r="E61" s="130"/>
      <c r="F61" s="130"/>
      <c r="G61" s="141" t="s">
        <v>375</v>
      </c>
      <c r="H61" s="140" t="s">
        <v>361</v>
      </c>
      <c r="I61" s="140" t="s">
        <v>372</v>
      </c>
      <c r="J61" s="85" t="s">
        <v>22</v>
      </c>
      <c r="K61" s="66" t="s">
        <v>23</v>
      </c>
      <c r="L61" s="75">
        <v>4711.9</v>
      </c>
      <c r="M61" s="61">
        <v>4711.9</v>
      </c>
      <c r="N61" s="60">
        <v>6137.6</v>
      </c>
      <c r="O61" s="75">
        <v>6568.6</v>
      </c>
      <c r="P61" s="61">
        <v>6568.6</v>
      </c>
      <c r="Q61" s="62"/>
      <c r="R61" s="75">
        <v>6571.7</v>
      </c>
      <c r="S61" s="61">
        <v>6571.7</v>
      </c>
      <c r="T61" s="62"/>
      <c r="U61" s="75">
        <v>6535</v>
      </c>
      <c r="V61" s="61">
        <v>6535</v>
      </c>
      <c r="W61" s="66"/>
      <c r="X61" s="72"/>
      <c r="Y61" s="37"/>
      <c r="Z61" s="37"/>
      <c r="AA61" s="37"/>
      <c r="AB61" s="37"/>
      <c r="AC61" s="37"/>
      <c r="AD61" s="37"/>
    </row>
    <row r="62" spans="1:30" s="38" customFormat="1" ht="408.75" customHeight="1">
      <c r="A62" s="49"/>
      <c r="B62" s="43"/>
      <c r="C62" s="123" t="s">
        <v>238</v>
      </c>
      <c r="D62" s="122" t="s">
        <v>171</v>
      </c>
      <c r="E62" s="122" t="s">
        <v>163</v>
      </c>
      <c r="F62" s="122" t="s">
        <v>172</v>
      </c>
      <c r="G62" s="131" t="s">
        <v>173</v>
      </c>
      <c r="H62" s="161" t="s">
        <v>163</v>
      </c>
      <c r="I62" s="122" t="s">
        <v>174</v>
      </c>
      <c r="J62" s="63" t="s">
        <v>24</v>
      </c>
      <c r="K62" s="63" t="s">
        <v>22</v>
      </c>
      <c r="L62" s="57">
        <f>2037.7+805.1+1</f>
        <v>2843.8</v>
      </c>
      <c r="M62" s="57">
        <f>2037.7+805.1+1-58.8</f>
        <v>2785</v>
      </c>
      <c r="N62" s="57">
        <v>3056.5</v>
      </c>
      <c r="O62" s="58">
        <f>P62+Q62</f>
        <v>4135.3</v>
      </c>
      <c r="P62" s="57">
        <v>4135.3</v>
      </c>
      <c r="Q62" s="57"/>
      <c r="R62" s="58">
        <f>S62+T62</f>
        <v>4135.3</v>
      </c>
      <c r="S62" s="57">
        <v>4135.3</v>
      </c>
      <c r="T62" s="57"/>
      <c r="U62" s="58">
        <f>V62+W62</f>
        <v>4135.3</v>
      </c>
      <c r="V62" s="57">
        <v>4135.3</v>
      </c>
      <c r="W62" s="57"/>
      <c r="X62" s="72"/>
      <c r="Y62" s="37"/>
      <c r="Z62" s="37"/>
      <c r="AA62" s="37"/>
      <c r="AB62" s="37"/>
      <c r="AC62" s="37"/>
      <c r="AD62" s="37"/>
    </row>
    <row r="63" spans="1:30" s="38" customFormat="1" ht="154.5" customHeight="1">
      <c r="A63" s="49"/>
      <c r="B63" s="43"/>
      <c r="C63" s="155" t="s">
        <v>376</v>
      </c>
      <c r="D63" s="130"/>
      <c r="E63" s="130"/>
      <c r="F63" s="130"/>
      <c r="G63" s="156" t="s">
        <v>377</v>
      </c>
      <c r="H63" s="140" t="s">
        <v>361</v>
      </c>
      <c r="I63" s="140" t="s">
        <v>366</v>
      </c>
      <c r="J63" s="85"/>
      <c r="K63" s="66"/>
      <c r="L63" s="75"/>
      <c r="M63" s="61"/>
      <c r="N63" s="60">
        <v>3221.8</v>
      </c>
      <c r="O63" s="75">
        <v>4204.4</v>
      </c>
      <c r="P63" s="61">
        <v>4204.4</v>
      </c>
      <c r="Q63" s="62"/>
      <c r="R63" s="75">
        <v>4495.9</v>
      </c>
      <c r="S63" s="61">
        <v>4495.9</v>
      </c>
      <c r="T63" s="62"/>
      <c r="U63" s="75">
        <v>4506.7</v>
      </c>
      <c r="V63" s="61">
        <v>4506.7</v>
      </c>
      <c r="W63" s="66"/>
      <c r="X63" s="72"/>
      <c r="Y63" s="37"/>
      <c r="Z63" s="37"/>
      <c r="AA63" s="37"/>
      <c r="AB63" s="37"/>
      <c r="AC63" s="37"/>
      <c r="AD63" s="37"/>
    </row>
    <row r="64" spans="1:30" s="38" customFormat="1" ht="249" customHeight="1">
      <c r="A64" s="49"/>
      <c r="B64" s="43"/>
      <c r="C64" s="155" t="s">
        <v>378</v>
      </c>
      <c r="D64" s="130"/>
      <c r="E64" s="130"/>
      <c r="F64" s="130"/>
      <c r="G64" s="156" t="s">
        <v>379</v>
      </c>
      <c r="H64" s="140" t="s">
        <v>361</v>
      </c>
      <c r="I64" s="140" t="s">
        <v>372</v>
      </c>
      <c r="J64" s="66" t="s">
        <v>22</v>
      </c>
      <c r="K64" s="66" t="s">
        <v>23</v>
      </c>
      <c r="L64" s="80">
        <v>340.4</v>
      </c>
      <c r="M64" s="61">
        <v>340.4</v>
      </c>
      <c r="N64" s="61"/>
      <c r="O64" s="80"/>
      <c r="P64" s="61"/>
      <c r="Q64" s="62"/>
      <c r="R64" s="75"/>
      <c r="S64" s="61"/>
      <c r="T64" s="62"/>
      <c r="U64" s="75"/>
      <c r="V64" s="61"/>
      <c r="W64" s="66"/>
      <c r="X64" s="72"/>
      <c r="Y64" s="37"/>
      <c r="Z64" s="37"/>
      <c r="AA64" s="37"/>
      <c r="AB64" s="37"/>
      <c r="AC64" s="37"/>
      <c r="AD64" s="37"/>
    </row>
    <row r="65" spans="1:30" s="38" customFormat="1" ht="249" customHeight="1">
      <c r="A65" s="49"/>
      <c r="B65" s="43"/>
      <c r="C65" s="155" t="s">
        <v>380</v>
      </c>
      <c r="D65" s="130"/>
      <c r="E65" s="130"/>
      <c r="F65" s="130"/>
      <c r="G65" s="156" t="s">
        <v>373</v>
      </c>
      <c r="H65" s="130" t="s">
        <v>361</v>
      </c>
      <c r="I65" s="140" t="s">
        <v>372</v>
      </c>
      <c r="J65" s="85" t="s">
        <v>22</v>
      </c>
      <c r="K65" s="66" t="s">
        <v>23</v>
      </c>
      <c r="L65" s="75">
        <v>8205.9</v>
      </c>
      <c r="M65" s="61">
        <v>8205.9</v>
      </c>
      <c r="N65" s="61">
        <v>11231.5</v>
      </c>
      <c r="O65" s="81">
        <v>8842.3</v>
      </c>
      <c r="P65" s="60">
        <v>8842.3</v>
      </c>
      <c r="Q65" s="82"/>
      <c r="R65" s="81">
        <v>8842.3</v>
      </c>
      <c r="S65" s="60">
        <v>8842.3</v>
      </c>
      <c r="T65" s="82"/>
      <c r="U65" s="81">
        <v>8842.3</v>
      </c>
      <c r="V65" s="60">
        <v>8842.3</v>
      </c>
      <c r="W65" s="66"/>
      <c r="X65" s="72"/>
      <c r="Y65" s="37"/>
      <c r="Z65" s="37"/>
      <c r="AA65" s="37"/>
      <c r="AB65" s="37"/>
      <c r="AC65" s="37"/>
      <c r="AD65" s="37"/>
    </row>
    <row r="66" spans="1:30" s="38" customFormat="1" ht="312" customHeight="1">
      <c r="A66" s="49"/>
      <c r="B66" s="43"/>
      <c r="C66" s="155" t="s">
        <v>381</v>
      </c>
      <c r="D66" s="139" t="s">
        <v>382</v>
      </c>
      <c r="E66" s="140" t="s">
        <v>361</v>
      </c>
      <c r="F66" s="140" t="s">
        <v>372</v>
      </c>
      <c r="G66" s="156" t="s">
        <v>360</v>
      </c>
      <c r="H66" s="140"/>
      <c r="I66" s="140" t="s">
        <v>366</v>
      </c>
      <c r="J66" s="85" t="s">
        <v>22</v>
      </c>
      <c r="K66" s="66" t="s">
        <v>23</v>
      </c>
      <c r="L66" s="75">
        <v>8.1</v>
      </c>
      <c r="M66" s="61">
        <v>8.1</v>
      </c>
      <c r="N66" s="61">
        <v>8.2</v>
      </c>
      <c r="O66" s="75">
        <v>0</v>
      </c>
      <c r="P66" s="61">
        <v>0</v>
      </c>
      <c r="Q66" s="62"/>
      <c r="R66" s="75">
        <v>0</v>
      </c>
      <c r="S66" s="61">
        <v>0</v>
      </c>
      <c r="T66" s="62"/>
      <c r="U66" s="75">
        <v>0</v>
      </c>
      <c r="V66" s="61">
        <v>0</v>
      </c>
      <c r="W66" s="66"/>
      <c r="X66" s="72"/>
      <c r="Y66" s="37"/>
      <c r="Z66" s="37"/>
      <c r="AA66" s="37"/>
      <c r="AB66" s="37"/>
      <c r="AC66" s="37"/>
      <c r="AD66" s="37"/>
    </row>
    <row r="67" spans="1:30" s="38" customFormat="1" ht="249" customHeight="1">
      <c r="A67" s="49"/>
      <c r="B67" s="43"/>
      <c r="C67" s="155" t="s">
        <v>383</v>
      </c>
      <c r="D67" s="139" t="s">
        <v>382</v>
      </c>
      <c r="E67" s="140" t="s">
        <v>361</v>
      </c>
      <c r="F67" s="140" t="s">
        <v>372</v>
      </c>
      <c r="G67" s="156" t="s">
        <v>379</v>
      </c>
      <c r="H67" s="140" t="s">
        <v>361</v>
      </c>
      <c r="I67" s="140" t="s">
        <v>372</v>
      </c>
      <c r="J67" s="85" t="s">
        <v>22</v>
      </c>
      <c r="K67" s="66" t="s">
        <v>23</v>
      </c>
      <c r="L67" s="81">
        <v>514.2</v>
      </c>
      <c r="M67" s="61">
        <v>514.2</v>
      </c>
      <c r="N67" s="61"/>
      <c r="O67" s="75"/>
      <c r="P67" s="61"/>
      <c r="Q67" s="62"/>
      <c r="R67" s="75"/>
      <c r="S67" s="61"/>
      <c r="T67" s="62"/>
      <c r="U67" s="75"/>
      <c r="V67" s="61"/>
      <c r="W67" s="66"/>
      <c r="X67" s="72"/>
      <c r="Y67" s="37"/>
      <c r="Z67" s="37"/>
      <c r="AA67" s="37"/>
      <c r="AB67" s="37"/>
      <c r="AC67" s="37"/>
      <c r="AD67" s="37"/>
    </row>
    <row r="68" spans="1:30" s="38" customFormat="1" ht="271.5" customHeight="1">
      <c r="A68" s="49"/>
      <c r="B68" s="43"/>
      <c r="C68" s="155" t="s">
        <v>384</v>
      </c>
      <c r="D68" s="139" t="s">
        <v>385</v>
      </c>
      <c r="E68" s="140" t="s">
        <v>386</v>
      </c>
      <c r="F68" s="140" t="s">
        <v>372</v>
      </c>
      <c r="G68" s="156" t="s">
        <v>360</v>
      </c>
      <c r="H68" s="140" t="s">
        <v>361</v>
      </c>
      <c r="I68" s="140" t="s">
        <v>366</v>
      </c>
      <c r="J68" s="85" t="s">
        <v>22</v>
      </c>
      <c r="K68" s="66" t="s">
        <v>23</v>
      </c>
      <c r="L68" s="75">
        <v>1336.9</v>
      </c>
      <c r="M68" s="61">
        <v>1336.9</v>
      </c>
      <c r="N68" s="61">
        <v>1814.5</v>
      </c>
      <c r="O68" s="75">
        <v>1790.4</v>
      </c>
      <c r="P68" s="60">
        <v>1790.4</v>
      </c>
      <c r="Q68" s="62"/>
      <c r="R68" s="75">
        <v>1641.2</v>
      </c>
      <c r="S68" s="61">
        <v>1641.2</v>
      </c>
      <c r="T68" s="62"/>
      <c r="U68" s="75">
        <v>1641.2</v>
      </c>
      <c r="V68" s="61">
        <v>1641.2</v>
      </c>
      <c r="W68" s="66"/>
      <c r="X68" s="72"/>
      <c r="Y68" s="37"/>
      <c r="Z68" s="37"/>
      <c r="AA68" s="37"/>
      <c r="AB68" s="37"/>
      <c r="AC68" s="37"/>
      <c r="AD68" s="37"/>
    </row>
    <row r="69" spans="1:30" s="38" customFormat="1" ht="267" customHeight="1">
      <c r="A69" s="49"/>
      <c r="B69" s="43"/>
      <c r="C69" s="155" t="s">
        <v>387</v>
      </c>
      <c r="D69" s="139" t="s">
        <v>388</v>
      </c>
      <c r="E69" s="140" t="s">
        <v>361</v>
      </c>
      <c r="F69" s="140" t="s">
        <v>372</v>
      </c>
      <c r="G69" s="156" t="s">
        <v>360</v>
      </c>
      <c r="H69" s="140" t="s">
        <v>361</v>
      </c>
      <c r="I69" s="140" t="s">
        <v>366</v>
      </c>
      <c r="J69" s="85" t="s">
        <v>22</v>
      </c>
      <c r="K69" s="66" t="s">
        <v>23</v>
      </c>
      <c r="L69" s="75"/>
      <c r="M69" s="61"/>
      <c r="N69" s="61"/>
      <c r="O69" s="75"/>
      <c r="P69" s="61"/>
      <c r="Q69" s="62"/>
      <c r="R69" s="75"/>
      <c r="S69" s="61"/>
      <c r="T69" s="62"/>
      <c r="U69" s="75"/>
      <c r="V69" s="61"/>
      <c r="W69" s="66"/>
      <c r="X69" s="72"/>
      <c r="Y69" s="37"/>
      <c r="Z69" s="37"/>
      <c r="AA69" s="37"/>
      <c r="AB69" s="37"/>
      <c r="AC69" s="37"/>
      <c r="AD69" s="37"/>
    </row>
    <row r="70" spans="1:30" s="38" customFormat="1" ht="173.25" customHeight="1">
      <c r="A70" s="49"/>
      <c r="B70" s="43"/>
      <c r="C70" s="123" t="s">
        <v>260</v>
      </c>
      <c r="D70" s="122" t="s">
        <v>261</v>
      </c>
      <c r="E70" s="122" t="s">
        <v>262</v>
      </c>
      <c r="F70" s="122" t="s">
        <v>263</v>
      </c>
      <c r="G70" s="162" t="s">
        <v>199</v>
      </c>
      <c r="H70" s="129" t="s">
        <v>200</v>
      </c>
      <c r="I70" s="163">
        <v>39749</v>
      </c>
      <c r="J70" s="63" t="s">
        <v>24</v>
      </c>
      <c r="K70" s="63" t="s">
        <v>25</v>
      </c>
      <c r="L70" s="57">
        <v>841.9</v>
      </c>
      <c r="M70" s="57">
        <v>841.9</v>
      </c>
      <c r="N70" s="57">
        <v>934.4</v>
      </c>
      <c r="O70" s="67"/>
      <c r="P70" s="57"/>
      <c r="Q70" s="57"/>
      <c r="R70" s="67"/>
      <c r="S70" s="57"/>
      <c r="T70" s="57"/>
      <c r="U70" s="57">
        <f>V70+W70</f>
        <v>1046.2</v>
      </c>
      <c r="V70" s="57">
        <v>1046.2</v>
      </c>
      <c r="W70" s="57"/>
      <c r="X70" s="72"/>
      <c r="Y70" s="37"/>
      <c r="Z70" s="37"/>
      <c r="AA70" s="37"/>
      <c r="AB70" s="37"/>
      <c r="AC70" s="37"/>
      <c r="AD70" s="37"/>
    </row>
    <row r="71" spans="1:30" s="38" customFormat="1" ht="196.5" customHeight="1">
      <c r="A71" s="49"/>
      <c r="B71" s="43"/>
      <c r="C71" s="123" t="s">
        <v>239</v>
      </c>
      <c r="D71" s="122" t="s">
        <v>168</v>
      </c>
      <c r="E71" s="122" t="s">
        <v>169</v>
      </c>
      <c r="F71" s="122" t="s">
        <v>170</v>
      </c>
      <c r="G71" s="162" t="s">
        <v>199</v>
      </c>
      <c r="H71" s="129" t="s">
        <v>200</v>
      </c>
      <c r="I71" s="163">
        <v>39749</v>
      </c>
      <c r="J71" s="63" t="s">
        <v>24</v>
      </c>
      <c r="K71" s="63" t="s">
        <v>25</v>
      </c>
      <c r="L71" s="57">
        <v>3559.7</v>
      </c>
      <c r="M71" s="57">
        <v>3559.7</v>
      </c>
      <c r="N71" s="57"/>
      <c r="O71" s="57"/>
      <c r="P71" s="57"/>
      <c r="Q71" s="57"/>
      <c r="R71" s="57"/>
      <c r="S71" s="57"/>
      <c r="T71" s="57"/>
      <c r="U71" s="57">
        <f>V71+W71</f>
        <v>1046.1</v>
      </c>
      <c r="V71" s="57">
        <v>1046.1</v>
      </c>
      <c r="W71" s="57"/>
      <c r="X71" s="72"/>
      <c r="Y71" s="37"/>
      <c r="Z71" s="37"/>
      <c r="AA71" s="37"/>
      <c r="AB71" s="37"/>
      <c r="AC71" s="37"/>
      <c r="AD71" s="37"/>
    </row>
    <row r="72" spans="1:30" s="38" customFormat="1" ht="358.5" customHeight="1">
      <c r="A72" s="49"/>
      <c r="B72" s="43"/>
      <c r="C72" s="123" t="s">
        <v>240</v>
      </c>
      <c r="D72" s="122" t="s">
        <v>44</v>
      </c>
      <c r="E72" s="122" t="s">
        <v>46</v>
      </c>
      <c r="F72" s="122" t="s">
        <v>201</v>
      </c>
      <c r="G72" s="131" t="s">
        <v>45</v>
      </c>
      <c r="H72" s="149" t="s">
        <v>47</v>
      </c>
      <c r="I72" s="122" t="s">
        <v>48</v>
      </c>
      <c r="J72" s="63" t="s">
        <v>21</v>
      </c>
      <c r="K72" s="63" t="s">
        <v>23</v>
      </c>
      <c r="L72" s="57">
        <f>49.8+0.2</f>
        <v>50</v>
      </c>
      <c r="M72" s="57">
        <f>49.8+0.2</f>
        <v>50</v>
      </c>
      <c r="N72" s="57">
        <v>7.8</v>
      </c>
      <c r="O72" s="57">
        <f>P72+Q72</f>
        <v>13.7</v>
      </c>
      <c r="P72" s="57">
        <v>13.7</v>
      </c>
      <c r="Q72" s="57"/>
      <c r="R72" s="57">
        <f>S72+T72</f>
        <v>14.7</v>
      </c>
      <c r="S72" s="57">
        <v>14.7</v>
      </c>
      <c r="T72" s="57"/>
      <c r="U72" s="57">
        <f>V72+W72</f>
        <v>60.1</v>
      </c>
      <c r="V72" s="57">
        <v>60.1</v>
      </c>
      <c r="W72" s="57"/>
      <c r="X72" s="72"/>
      <c r="Y72" s="37"/>
      <c r="Z72" s="37"/>
      <c r="AA72" s="37"/>
      <c r="AB72" s="37"/>
      <c r="AC72" s="37"/>
      <c r="AD72" s="37"/>
    </row>
    <row r="73" spans="1:30" s="38" customFormat="1" ht="284.25" customHeight="1">
      <c r="A73" s="49"/>
      <c r="B73" s="43"/>
      <c r="C73" s="155" t="s">
        <v>389</v>
      </c>
      <c r="D73" s="164" t="s">
        <v>390</v>
      </c>
      <c r="E73" s="165" t="s">
        <v>361</v>
      </c>
      <c r="F73" s="166" t="s">
        <v>372</v>
      </c>
      <c r="G73" s="167" t="s">
        <v>375</v>
      </c>
      <c r="H73" s="165" t="s">
        <v>361</v>
      </c>
      <c r="I73" s="166" t="s">
        <v>366</v>
      </c>
      <c r="J73" s="85" t="s">
        <v>22</v>
      </c>
      <c r="K73" s="66" t="s">
        <v>23</v>
      </c>
      <c r="L73" s="75">
        <v>7490</v>
      </c>
      <c r="M73" s="61">
        <v>7490</v>
      </c>
      <c r="N73" s="61">
        <v>6230.5</v>
      </c>
      <c r="O73" s="75">
        <v>5980.6</v>
      </c>
      <c r="P73" s="61">
        <v>5980.6</v>
      </c>
      <c r="Q73" s="62"/>
      <c r="R73" s="75">
        <v>6045.3</v>
      </c>
      <c r="S73" s="61">
        <v>6045.3</v>
      </c>
      <c r="T73" s="62"/>
      <c r="U73" s="75">
        <v>6060.3</v>
      </c>
      <c r="V73" s="61">
        <v>6060.3</v>
      </c>
      <c r="W73" s="66"/>
      <c r="X73" s="72"/>
      <c r="Y73" s="37"/>
      <c r="Z73" s="37"/>
      <c r="AA73" s="37"/>
      <c r="AB73" s="37"/>
      <c r="AC73" s="37"/>
      <c r="AD73" s="37"/>
    </row>
    <row r="74" spans="1:30" s="38" customFormat="1" ht="336.75" customHeight="1">
      <c r="A74" s="49"/>
      <c r="B74" s="43"/>
      <c r="C74" s="123" t="s">
        <v>251</v>
      </c>
      <c r="D74" s="122"/>
      <c r="E74" s="122"/>
      <c r="F74" s="122"/>
      <c r="G74" s="131" t="s">
        <v>252</v>
      </c>
      <c r="H74" s="149" t="s">
        <v>163</v>
      </c>
      <c r="I74" s="133">
        <v>42831</v>
      </c>
      <c r="J74" s="63" t="s">
        <v>21</v>
      </c>
      <c r="K74" s="63" t="s">
        <v>22</v>
      </c>
      <c r="L74" s="57">
        <v>381.8</v>
      </c>
      <c r="M74" s="57">
        <v>381.8</v>
      </c>
      <c r="N74" s="57">
        <f>383.5+3.5</f>
        <v>387</v>
      </c>
      <c r="O74" s="57">
        <f>P74+Q74</f>
        <v>397.9</v>
      </c>
      <c r="P74" s="57">
        <v>397.9</v>
      </c>
      <c r="Q74" s="57"/>
      <c r="R74" s="57">
        <f>S74+T74</f>
        <v>397.9</v>
      </c>
      <c r="S74" s="57">
        <v>397.9</v>
      </c>
      <c r="T74" s="57"/>
      <c r="U74" s="57">
        <f>V74+W74</f>
        <v>397.9</v>
      </c>
      <c r="V74" s="57">
        <v>397.9</v>
      </c>
      <c r="W74" s="57"/>
      <c r="X74" s="72"/>
      <c r="Y74" s="37"/>
      <c r="Z74" s="37"/>
      <c r="AA74" s="37"/>
      <c r="AB74" s="37"/>
      <c r="AC74" s="37"/>
      <c r="AD74" s="37"/>
    </row>
    <row r="75" spans="1:30" s="38" customFormat="1" ht="243" customHeight="1">
      <c r="A75" s="49"/>
      <c r="B75" s="43"/>
      <c r="C75" s="123" t="s">
        <v>302</v>
      </c>
      <c r="D75" s="122" t="s">
        <v>44</v>
      </c>
      <c r="E75" s="122" t="s">
        <v>163</v>
      </c>
      <c r="F75" s="122" t="s">
        <v>201</v>
      </c>
      <c r="G75" s="131" t="s">
        <v>303</v>
      </c>
      <c r="H75" s="149" t="s">
        <v>163</v>
      </c>
      <c r="I75" s="133" t="s">
        <v>304</v>
      </c>
      <c r="J75" s="63" t="s">
        <v>23</v>
      </c>
      <c r="K75" s="63" t="s">
        <v>23</v>
      </c>
      <c r="L75" s="57"/>
      <c r="M75" s="57"/>
      <c r="N75" s="57">
        <v>1.3</v>
      </c>
      <c r="O75" s="57">
        <f>P75+Q75</f>
        <v>2.5</v>
      </c>
      <c r="P75" s="57">
        <v>2.5</v>
      </c>
      <c r="Q75" s="57"/>
      <c r="R75" s="57">
        <f>S75+T75</f>
        <v>2.5</v>
      </c>
      <c r="S75" s="57">
        <v>2.5</v>
      </c>
      <c r="T75" s="57"/>
      <c r="U75" s="57">
        <f>V75+W75</f>
        <v>2.5</v>
      </c>
      <c r="V75" s="57">
        <v>2.5</v>
      </c>
      <c r="W75" s="57"/>
      <c r="X75" s="72"/>
      <c r="Y75" s="37"/>
      <c r="Z75" s="37"/>
      <c r="AA75" s="37"/>
      <c r="AB75" s="37"/>
      <c r="AC75" s="37"/>
      <c r="AD75" s="37"/>
    </row>
    <row r="76" spans="1:30" s="38" customFormat="1" ht="260.25" customHeight="1">
      <c r="A76" s="49"/>
      <c r="B76" s="43"/>
      <c r="C76" s="168" t="s">
        <v>313</v>
      </c>
      <c r="D76" s="122" t="s">
        <v>315</v>
      </c>
      <c r="E76" s="122" t="s">
        <v>316</v>
      </c>
      <c r="F76" s="122" t="s">
        <v>318</v>
      </c>
      <c r="G76" s="131" t="s">
        <v>314</v>
      </c>
      <c r="H76" s="149" t="s">
        <v>163</v>
      </c>
      <c r="I76" s="133" t="s">
        <v>317</v>
      </c>
      <c r="J76" s="63" t="s">
        <v>23</v>
      </c>
      <c r="K76" s="63" t="s">
        <v>21</v>
      </c>
      <c r="L76" s="57"/>
      <c r="M76" s="57"/>
      <c r="N76" s="57"/>
      <c r="O76" s="57">
        <f>P76+Q76</f>
        <v>0</v>
      </c>
      <c r="P76" s="57"/>
      <c r="Q76" s="57"/>
      <c r="R76" s="57">
        <f>S76+T76</f>
        <v>1387.5</v>
      </c>
      <c r="S76" s="57">
        <v>1387.5</v>
      </c>
      <c r="T76" s="57"/>
      <c r="U76" s="57">
        <f>V76+W76</f>
        <v>0</v>
      </c>
      <c r="V76" s="57"/>
      <c r="W76" s="57"/>
      <c r="X76" s="72"/>
      <c r="Y76" s="37"/>
      <c r="Z76" s="37"/>
      <c r="AA76" s="37"/>
      <c r="AB76" s="37"/>
      <c r="AC76" s="37"/>
      <c r="AD76" s="37"/>
    </row>
    <row r="77" spans="1:30" s="38" customFormat="1" ht="213" customHeight="1">
      <c r="A77" s="49"/>
      <c r="B77" s="44"/>
      <c r="C77" s="169" t="s">
        <v>272</v>
      </c>
      <c r="D77" s="122" t="s">
        <v>19</v>
      </c>
      <c r="E77" s="122" t="s">
        <v>19</v>
      </c>
      <c r="F77" s="122" t="s">
        <v>19</v>
      </c>
      <c r="G77" s="122" t="s">
        <v>19</v>
      </c>
      <c r="H77" s="122" t="s">
        <v>19</v>
      </c>
      <c r="I77" s="122" t="s">
        <v>19</v>
      </c>
      <c r="J77" s="54" t="s">
        <v>19</v>
      </c>
      <c r="K77" s="54" t="s">
        <v>19</v>
      </c>
      <c r="L77" s="83">
        <f>L78+L80+L83</f>
        <v>57769</v>
      </c>
      <c r="M77" s="83">
        <f aca="true" t="shared" si="6" ref="M77:W77">M78+M80+M83</f>
        <v>57766.5</v>
      </c>
      <c r="N77" s="83">
        <f t="shared" si="6"/>
        <v>57117.8</v>
      </c>
      <c r="O77" s="83">
        <f t="shared" si="6"/>
        <v>58054.399999999994</v>
      </c>
      <c r="P77" s="83">
        <f t="shared" si="6"/>
        <v>58054.399999999994</v>
      </c>
      <c r="Q77" s="83">
        <f t="shared" si="6"/>
        <v>0</v>
      </c>
      <c r="R77" s="83">
        <f t="shared" si="6"/>
        <v>53462.2</v>
      </c>
      <c r="S77" s="83">
        <f t="shared" si="6"/>
        <v>53462.2</v>
      </c>
      <c r="T77" s="83">
        <f t="shared" si="6"/>
        <v>0</v>
      </c>
      <c r="U77" s="83">
        <f t="shared" si="6"/>
        <v>54410.8</v>
      </c>
      <c r="V77" s="83">
        <f t="shared" si="6"/>
        <v>54410.8</v>
      </c>
      <c r="W77" s="83">
        <f t="shared" si="6"/>
        <v>0</v>
      </c>
      <c r="X77" s="49"/>
      <c r="Y77" s="37"/>
      <c r="Z77" s="37"/>
      <c r="AA77" s="37"/>
      <c r="AB77" s="37"/>
      <c r="AC77" s="37"/>
      <c r="AD77" s="37"/>
    </row>
    <row r="78" spans="1:30" s="38" customFormat="1" ht="132.75" customHeight="1">
      <c r="A78" s="49"/>
      <c r="B78" s="44"/>
      <c r="C78" s="155" t="s">
        <v>273</v>
      </c>
      <c r="D78" s="126" t="s">
        <v>44</v>
      </c>
      <c r="E78" s="126" t="s">
        <v>344</v>
      </c>
      <c r="F78" s="126" t="s">
        <v>201</v>
      </c>
      <c r="G78" s="170" t="s">
        <v>345</v>
      </c>
      <c r="H78" s="127" t="s">
        <v>346</v>
      </c>
      <c r="I78" s="127" t="s">
        <v>347</v>
      </c>
      <c r="J78" s="59" t="s">
        <v>348</v>
      </c>
      <c r="K78" s="59" t="s">
        <v>21</v>
      </c>
      <c r="L78" s="84">
        <v>14655.4</v>
      </c>
      <c r="M78" s="57">
        <v>14655.4</v>
      </c>
      <c r="N78" s="60">
        <v>18973.4</v>
      </c>
      <c r="O78" s="61">
        <f>P78+Q78</f>
        <v>23847.3</v>
      </c>
      <c r="P78" s="61">
        <v>23847.3</v>
      </c>
      <c r="Q78" s="61">
        <v>0</v>
      </c>
      <c r="R78" s="61">
        <f>S78+T78</f>
        <v>25378.5</v>
      </c>
      <c r="S78" s="61">
        <v>25378.5</v>
      </c>
      <c r="T78" s="61">
        <v>0</v>
      </c>
      <c r="U78" s="61">
        <f>V78+W78</f>
        <v>26225.3</v>
      </c>
      <c r="V78" s="61">
        <v>26225.3</v>
      </c>
      <c r="W78" s="61">
        <v>0</v>
      </c>
      <c r="X78" s="49"/>
      <c r="Y78" s="37"/>
      <c r="Z78" s="37"/>
      <c r="AA78" s="37"/>
      <c r="AB78" s="37"/>
      <c r="AC78" s="37"/>
      <c r="AD78" s="37"/>
    </row>
    <row r="79" spans="1:30" s="38" customFormat="1" ht="38.25" customHeight="1">
      <c r="A79" s="49"/>
      <c r="B79" s="44"/>
      <c r="C79" s="121" t="s">
        <v>274</v>
      </c>
      <c r="D79" s="165"/>
      <c r="E79" s="165"/>
      <c r="F79" s="165"/>
      <c r="G79" s="171"/>
      <c r="H79" s="165"/>
      <c r="I79" s="16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49"/>
      <c r="Y79" s="37"/>
      <c r="Z79" s="37"/>
      <c r="AA79" s="37"/>
      <c r="AB79" s="37"/>
      <c r="AC79" s="37"/>
      <c r="AD79" s="37"/>
    </row>
    <row r="80" spans="1:30" s="38" customFormat="1" ht="172.5" customHeight="1">
      <c r="A80" s="49"/>
      <c r="B80" s="44"/>
      <c r="C80" s="155" t="s">
        <v>275</v>
      </c>
      <c r="D80" s="172" t="s">
        <v>19</v>
      </c>
      <c r="E80" s="172" t="s">
        <v>19</v>
      </c>
      <c r="F80" s="172" t="s">
        <v>19</v>
      </c>
      <c r="G80" s="172" t="s">
        <v>19</v>
      </c>
      <c r="H80" s="172" t="s">
        <v>19</v>
      </c>
      <c r="I80" s="172" t="s">
        <v>19</v>
      </c>
      <c r="J80" s="86" t="s">
        <v>19</v>
      </c>
      <c r="K80" s="86" t="s">
        <v>19</v>
      </c>
      <c r="L80" s="84">
        <v>333.9</v>
      </c>
      <c r="M80" s="57">
        <f>L80</f>
        <v>333.9</v>
      </c>
      <c r="N80" s="60">
        <v>358.9</v>
      </c>
      <c r="O80" s="61">
        <f>P80+Q80</f>
        <v>323.9</v>
      </c>
      <c r="P80" s="61">
        <v>323.9</v>
      </c>
      <c r="Q80" s="61">
        <v>0</v>
      </c>
      <c r="R80" s="61">
        <f>S80+T80</f>
        <v>328.1</v>
      </c>
      <c r="S80" s="61">
        <v>328.1</v>
      </c>
      <c r="T80" s="61">
        <v>0</v>
      </c>
      <c r="U80" s="61">
        <f>V80+W80</f>
        <v>344</v>
      </c>
      <c r="V80" s="61">
        <v>344</v>
      </c>
      <c r="W80" s="61">
        <v>0</v>
      </c>
      <c r="X80" s="49"/>
      <c r="Y80" s="37"/>
      <c r="Z80" s="37"/>
      <c r="AA80" s="37"/>
      <c r="AB80" s="37"/>
      <c r="AC80" s="37"/>
      <c r="AD80" s="37"/>
    </row>
    <row r="81" spans="1:30" s="38" customFormat="1" ht="19.5" customHeight="1">
      <c r="A81" s="49"/>
      <c r="B81" s="44"/>
      <c r="C81" s="121" t="s">
        <v>276</v>
      </c>
      <c r="D81" s="173"/>
      <c r="E81" s="173"/>
      <c r="F81" s="173"/>
      <c r="G81" s="174"/>
      <c r="H81" s="173"/>
      <c r="I81" s="173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49"/>
      <c r="Y81" s="37"/>
      <c r="Z81" s="37"/>
      <c r="AA81" s="37"/>
      <c r="AB81" s="37"/>
      <c r="AC81" s="37"/>
      <c r="AD81" s="37"/>
    </row>
    <row r="82" spans="1:30" s="38" customFormat="1" ht="11.25" customHeight="1">
      <c r="A82" s="49"/>
      <c r="B82" s="44"/>
      <c r="C82" s="121" t="s">
        <v>7</v>
      </c>
      <c r="D82" s="165"/>
      <c r="E82" s="165"/>
      <c r="F82" s="165"/>
      <c r="G82" s="171"/>
      <c r="H82" s="165"/>
      <c r="I82" s="16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49"/>
      <c r="Y82" s="37"/>
      <c r="Z82" s="37"/>
      <c r="AA82" s="37"/>
      <c r="AB82" s="37"/>
      <c r="AC82" s="37"/>
      <c r="AD82" s="37"/>
    </row>
    <row r="83" spans="1:30" s="38" customFormat="1" ht="38.25" customHeight="1">
      <c r="A83" s="49"/>
      <c r="B83" s="44"/>
      <c r="C83" s="121" t="s">
        <v>277</v>
      </c>
      <c r="D83" s="173" t="s">
        <v>19</v>
      </c>
      <c r="E83" s="173" t="s">
        <v>19</v>
      </c>
      <c r="F83" s="173" t="s">
        <v>19</v>
      </c>
      <c r="G83" s="173" t="s">
        <v>19</v>
      </c>
      <c r="H83" s="173" t="s">
        <v>19</v>
      </c>
      <c r="I83" s="173" t="s">
        <v>19</v>
      </c>
      <c r="J83" s="87" t="s">
        <v>19</v>
      </c>
      <c r="K83" s="87" t="s">
        <v>19</v>
      </c>
      <c r="L83" s="88">
        <f>L84+L87</f>
        <v>42779.7</v>
      </c>
      <c r="M83" s="88">
        <f aca="true" t="shared" si="7" ref="M83:W83">M84+M87</f>
        <v>42777.2</v>
      </c>
      <c r="N83" s="88">
        <f t="shared" si="7"/>
        <v>37785.5</v>
      </c>
      <c r="O83" s="88">
        <f t="shared" si="7"/>
        <v>33883.2</v>
      </c>
      <c r="P83" s="88">
        <f t="shared" si="7"/>
        <v>33883.2</v>
      </c>
      <c r="Q83" s="88">
        <f t="shared" si="7"/>
        <v>0</v>
      </c>
      <c r="R83" s="88">
        <f t="shared" si="7"/>
        <v>27755.6</v>
      </c>
      <c r="S83" s="88">
        <f t="shared" si="7"/>
        <v>27755.6</v>
      </c>
      <c r="T83" s="88">
        <f t="shared" si="7"/>
        <v>0</v>
      </c>
      <c r="U83" s="88">
        <f t="shared" si="7"/>
        <v>27841.5</v>
      </c>
      <c r="V83" s="88">
        <f t="shared" si="7"/>
        <v>27841.5</v>
      </c>
      <c r="W83" s="88">
        <f t="shared" si="7"/>
        <v>0</v>
      </c>
      <c r="X83" s="49"/>
      <c r="Y83" s="37"/>
      <c r="Z83" s="37"/>
      <c r="AA83" s="37"/>
      <c r="AB83" s="37"/>
      <c r="AC83" s="37"/>
      <c r="AD83" s="37"/>
    </row>
    <row r="84" spans="1:30" s="38" customFormat="1" ht="103.5" customHeight="1">
      <c r="A84" s="49"/>
      <c r="B84" s="44"/>
      <c r="C84" s="121" t="s">
        <v>278</v>
      </c>
      <c r="D84" s="173" t="s">
        <v>19</v>
      </c>
      <c r="E84" s="173" t="s">
        <v>19</v>
      </c>
      <c r="F84" s="173" t="s">
        <v>19</v>
      </c>
      <c r="G84" s="173" t="s">
        <v>19</v>
      </c>
      <c r="H84" s="173" t="s">
        <v>19</v>
      </c>
      <c r="I84" s="173" t="s">
        <v>19</v>
      </c>
      <c r="J84" s="87" t="s">
        <v>19</v>
      </c>
      <c r="K84" s="87" t="s">
        <v>19</v>
      </c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49"/>
      <c r="Y84" s="37"/>
      <c r="Z84" s="37"/>
      <c r="AA84" s="37"/>
      <c r="AB84" s="37"/>
      <c r="AC84" s="37"/>
      <c r="AD84" s="37"/>
    </row>
    <row r="85" spans="1:30" s="38" customFormat="1" ht="15" customHeight="1">
      <c r="A85" s="49"/>
      <c r="B85" s="44"/>
      <c r="C85" s="121" t="s">
        <v>276</v>
      </c>
      <c r="D85" s="165"/>
      <c r="E85" s="165"/>
      <c r="F85" s="165"/>
      <c r="G85" s="171"/>
      <c r="H85" s="165"/>
      <c r="I85" s="16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49"/>
      <c r="Y85" s="37"/>
      <c r="Z85" s="37"/>
      <c r="AA85" s="37"/>
      <c r="AB85" s="37"/>
      <c r="AC85" s="37"/>
      <c r="AD85" s="37"/>
    </row>
    <row r="86" spans="1:30" s="38" customFormat="1" ht="15.75" customHeight="1">
      <c r="A86" s="49"/>
      <c r="B86" s="44"/>
      <c r="C86" s="121" t="s">
        <v>7</v>
      </c>
      <c r="D86" s="165"/>
      <c r="E86" s="165"/>
      <c r="F86" s="165"/>
      <c r="G86" s="171"/>
      <c r="H86" s="165"/>
      <c r="I86" s="16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49"/>
      <c r="Y86" s="37"/>
      <c r="Z86" s="37"/>
      <c r="AA86" s="37"/>
      <c r="AB86" s="37"/>
      <c r="AC86" s="37"/>
      <c r="AD86" s="37"/>
    </row>
    <row r="87" spans="1:30" s="38" customFormat="1" ht="120.75" customHeight="1">
      <c r="A87" s="49"/>
      <c r="B87" s="44"/>
      <c r="C87" s="175" t="s">
        <v>271</v>
      </c>
      <c r="D87" s="122" t="s">
        <v>287</v>
      </c>
      <c r="E87" s="122" t="s">
        <v>290</v>
      </c>
      <c r="F87" s="122" t="s">
        <v>288</v>
      </c>
      <c r="G87" s="137"/>
      <c r="H87" s="135"/>
      <c r="I87" s="135"/>
      <c r="J87" s="89" t="s">
        <v>23</v>
      </c>
      <c r="K87" s="89" t="s">
        <v>25</v>
      </c>
      <c r="L87" s="79">
        <f>42779.7</f>
        <v>42779.7</v>
      </c>
      <c r="M87" s="79">
        <f>42777.2</f>
        <v>42777.2</v>
      </c>
      <c r="N87" s="79">
        <f>8073.3+29712.2</f>
        <v>37785.5</v>
      </c>
      <c r="O87" s="79">
        <f>P87+Q87</f>
        <v>33883.2</v>
      </c>
      <c r="P87" s="79">
        <f>547.1+33336.1</f>
        <v>33883.2</v>
      </c>
      <c r="Q87" s="79"/>
      <c r="R87" s="79">
        <f>S87+T87</f>
        <v>27755.6</v>
      </c>
      <c r="S87" s="79">
        <f>547.1+27208.5</f>
        <v>27755.6</v>
      </c>
      <c r="T87" s="79"/>
      <c r="U87" s="79">
        <f>V87+W87</f>
        <v>27841.5</v>
      </c>
      <c r="V87" s="79">
        <f>570.5+27271</f>
        <v>27841.5</v>
      </c>
      <c r="W87" s="79"/>
      <c r="X87" s="49"/>
      <c r="Y87" s="37"/>
      <c r="Z87" s="37"/>
      <c r="AA87" s="37"/>
      <c r="AB87" s="37"/>
      <c r="AC87" s="37"/>
      <c r="AD87" s="37"/>
    </row>
    <row r="88" spans="2:23" s="38" customFormat="1" ht="66.75" customHeight="1">
      <c r="B88" s="44"/>
      <c r="C88" s="176" t="s">
        <v>18</v>
      </c>
      <c r="D88" s="177"/>
      <c r="E88" s="177"/>
      <c r="F88" s="177"/>
      <c r="G88" s="178"/>
      <c r="H88" s="177"/>
      <c r="I88" s="177"/>
      <c r="J88" s="90"/>
      <c r="K88" s="90"/>
      <c r="L88" s="91">
        <f aca="true" t="shared" si="8" ref="L88:W88">L42+L30+L9+L77</f>
        <v>402785.7</v>
      </c>
      <c r="M88" s="91">
        <f t="shared" si="8"/>
        <v>379496.30000000005</v>
      </c>
      <c r="N88" s="91">
        <f t="shared" si="8"/>
        <v>484415.49999999994</v>
      </c>
      <c r="O88" s="91">
        <f t="shared" si="8"/>
        <v>476139.69999999995</v>
      </c>
      <c r="P88" s="91">
        <f t="shared" si="8"/>
        <v>446181.30000000005</v>
      </c>
      <c r="Q88" s="91">
        <f t="shared" si="8"/>
        <v>29958.399999999998</v>
      </c>
      <c r="R88" s="91">
        <f t="shared" si="8"/>
        <v>409977.5</v>
      </c>
      <c r="S88" s="91">
        <f t="shared" si="8"/>
        <v>409426.5</v>
      </c>
      <c r="T88" s="91">
        <f t="shared" si="8"/>
        <v>551</v>
      </c>
      <c r="U88" s="91">
        <f t="shared" si="8"/>
        <v>415646.10000000003</v>
      </c>
      <c r="V88" s="91">
        <f t="shared" si="8"/>
        <v>414135.10000000003</v>
      </c>
      <c r="W88" s="91">
        <f t="shared" si="8"/>
        <v>1511</v>
      </c>
    </row>
    <row r="92" spans="15:21" ht="12.75">
      <c r="O92" s="94"/>
      <c r="R92" s="94"/>
      <c r="U92" s="94"/>
    </row>
  </sheetData>
  <sheetProtection/>
  <mergeCells count="57">
    <mergeCell ref="E42:E43"/>
    <mergeCell ref="J5:K6"/>
    <mergeCell ref="G9:G10"/>
    <mergeCell ref="H9:H10"/>
    <mergeCell ref="K42:K43"/>
    <mergeCell ref="I42:I43"/>
    <mergeCell ref="J42:J43"/>
    <mergeCell ref="I9:I10"/>
    <mergeCell ref="K9:K10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B9:B10"/>
    <mergeCell ref="B42:B43"/>
    <mergeCell ref="D9:D10"/>
    <mergeCell ref="E9:E10"/>
    <mergeCell ref="J9:J10"/>
    <mergeCell ref="G42:G43"/>
    <mergeCell ref="H42:H43"/>
    <mergeCell ref="F42:F43"/>
    <mergeCell ref="C42:C43"/>
    <mergeCell ref="C9:C10"/>
    <mergeCell ref="D42:D43"/>
    <mergeCell ref="L9:L10"/>
    <mergeCell ref="S42:S43"/>
    <mergeCell ref="N42:N43"/>
    <mergeCell ref="P9:P10"/>
    <mergeCell ref="L42:L43"/>
    <mergeCell ref="M42:M43"/>
    <mergeCell ref="O42:O43"/>
    <mergeCell ref="R42:R43"/>
    <mergeCell ref="O9:O10"/>
    <mergeCell ref="H3:L3"/>
    <mergeCell ref="V9:V10"/>
    <mergeCell ref="V42:V43"/>
    <mergeCell ref="M9:M10"/>
    <mergeCell ref="N9:N10"/>
    <mergeCell ref="U6:W6"/>
    <mergeCell ref="W42:W43"/>
    <mergeCell ref="N6:N7"/>
    <mergeCell ref="G6:I6"/>
    <mergeCell ref="L6:M6"/>
    <mergeCell ref="W9:W10"/>
    <mergeCell ref="S9:S10"/>
    <mergeCell ref="T42:T43"/>
    <mergeCell ref="Q42:Q43"/>
    <mergeCell ref="Q9:Q10"/>
    <mergeCell ref="P42:P43"/>
    <mergeCell ref="U42:U43"/>
    <mergeCell ref="R9:R10"/>
    <mergeCell ref="U9:U10"/>
  </mergeCells>
  <printOptions horizontalCentered="1"/>
  <pageMargins left="0.2362204724409449" right="0.2362204724409449" top="0" bottom="0.15748031496062992" header="0" footer="0.15748031496062992"/>
  <pageSetup firstPageNumber="21" useFirstPageNumber="1" fitToHeight="6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00390625" style="14" customWidth="1"/>
    <col min="2" max="2" width="13.25390625" style="14" customWidth="1"/>
    <col min="3" max="3" width="15.125" style="6" customWidth="1"/>
    <col min="4" max="4" width="13.625" style="6" customWidth="1"/>
    <col min="5" max="5" width="9.625" style="6" bestFit="1" customWidth="1"/>
    <col min="6" max="7" width="37.75390625" style="6" customWidth="1"/>
    <col min="8" max="8" width="7.75390625" style="6" customWidth="1"/>
    <col min="9" max="16384" width="9.125" style="6" customWidth="1"/>
  </cols>
  <sheetData>
    <row r="1" spans="1:8" ht="12.75">
      <c r="A1" s="3"/>
      <c r="B1" s="3"/>
      <c r="C1" s="114" t="s">
        <v>50</v>
      </c>
      <c r="D1" s="114"/>
      <c r="E1" s="114"/>
      <c r="F1" s="4"/>
      <c r="G1" s="4"/>
      <c r="H1" s="5"/>
    </row>
    <row r="2" spans="1:8" ht="12.75">
      <c r="A2" s="3"/>
      <c r="B2" s="115">
        <v>2015</v>
      </c>
      <c r="C2" s="116"/>
      <c r="D2" s="16">
        <v>2016</v>
      </c>
      <c r="E2" s="7"/>
      <c r="F2" s="7"/>
      <c r="G2" s="7"/>
      <c r="H2" s="5"/>
    </row>
    <row r="3" spans="1:8" ht="12.75">
      <c r="A3" s="3"/>
      <c r="B3" s="16" t="s">
        <v>86</v>
      </c>
      <c r="C3" s="15" t="s">
        <v>87</v>
      </c>
      <c r="D3" s="7"/>
      <c r="E3" s="7"/>
      <c r="F3" s="7"/>
      <c r="G3" s="7"/>
      <c r="H3" s="5"/>
    </row>
    <row r="4" spans="1:8" ht="12.75">
      <c r="A4" s="24" t="s">
        <v>94</v>
      </c>
      <c r="B4" s="29">
        <f>9228864.5-933484.6</f>
        <v>8295379.9</v>
      </c>
      <c r="C4" s="29">
        <f>9166497.19-797954.49</f>
        <v>8368542.699999999</v>
      </c>
      <c r="D4" s="17">
        <f>9159400-897730.27</f>
        <v>8261669.73</v>
      </c>
      <c r="E4" s="7"/>
      <c r="F4" s="7"/>
      <c r="G4" s="7"/>
      <c r="H4" s="5"/>
    </row>
    <row r="5" spans="1:8" ht="12.75">
      <c r="A5" s="24" t="s">
        <v>95</v>
      </c>
      <c r="B5" s="29">
        <v>933484.6</v>
      </c>
      <c r="C5" s="29">
        <v>797954.49</v>
      </c>
      <c r="D5" s="17">
        <v>897730.27</v>
      </c>
      <c r="E5" s="7"/>
      <c r="F5" s="7"/>
      <c r="G5" s="7"/>
      <c r="H5" s="5"/>
    </row>
    <row r="6" spans="1:8" ht="12.75">
      <c r="A6" s="24" t="s">
        <v>104</v>
      </c>
      <c r="B6" s="29">
        <f>207936.56+76255+4217123.33+166000+99000+167600</f>
        <v>4933914.89</v>
      </c>
      <c r="C6" s="29">
        <f>207936.56+76255+4190000+165982.13+99000+167600</f>
        <v>4906773.6899999995</v>
      </c>
      <c r="D6" s="17">
        <f>215000+15000+217000+79200</f>
        <v>526200</v>
      </c>
      <c r="E6" s="7"/>
      <c r="F6" s="7"/>
      <c r="G6" s="7"/>
      <c r="H6" s="5"/>
    </row>
    <row r="7" spans="1:8" ht="12.75">
      <c r="A7" s="24" t="s">
        <v>157</v>
      </c>
      <c r="B7" s="29">
        <f>982815.97+1738200</f>
        <v>2721015.9699999997</v>
      </c>
      <c r="C7" s="29">
        <f>982815.97+690000</f>
        <v>1672815.97</v>
      </c>
      <c r="D7" s="17">
        <v>315000</v>
      </c>
      <c r="E7" s="7"/>
      <c r="F7" s="7"/>
      <c r="G7" s="7"/>
      <c r="H7" s="5"/>
    </row>
    <row r="8" spans="1:8" ht="12.75">
      <c r="A8" s="24" t="s">
        <v>105</v>
      </c>
      <c r="B8" s="29">
        <v>64000</v>
      </c>
      <c r="C8" s="29">
        <v>64000</v>
      </c>
      <c r="D8" s="17">
        <v>0</v>
      </c>
      <c r="E8" s="7"/>
      <c r="F8" s="7"/>
      <c r="G8" s="7"/>
      <c r="H8" s="5"/>
    </row>
    <row r="9" spans="1:8" ht="12.75">
      <c r="A9" s="24" t="s">
        <v>138</v>
      </c>
      <c r="B9" s="29">
        <v>3918000</v>
      </c>
      <c r="C9" s="29">
        <v>3918000</v>
      </c>
      <c r="D9" s="17">
        <v>2846000</v>
      </c>
      <c r="E9" s="7"/>
      <c r="F9" s="7"/>
      <c r="G9" s="7"/>
      <c r="H9" s="5"/>
    </row>
    <row r="10" spans="1:8" ht="12.75">
      <c r="A10" s="24" t="s">
        <v>160</v>
      </c>
      <c r="B10" s="29">
        <v>1000</v>
      </c>
      <c r="C10" s="29">
        <v>1000</v>
      </c>
      <c r="D10" s="17">
        <v>1000</v>
      </c>
      <c r="E10" s="7"/>
      <c r="F10" s="7"/>
      <c r="G10" s="7"/>
      <c r="H10" s="5"/>
    </row>
    <row r="11" spans="1:8" ht="12.75">
      <c r="A11" s="24" t="s">
        <v>96</v>
      </c>
      <c r="B11" s="29">
        <f>7223718.63+670400</f>
        <v>7894118.63</v>
      </c>
      <c r="C11" s="29">
        <v>670400</v>
      </c>
      <c r="D11" s="17">
        <f>6931700+30000</f>
        <v>6961700</v>
      </c>
      <c r="E11" s="7"/>
      <c r="F11" s="7"/>
      <c r="G11" s="7"/>
      <c r="H11" s="5"/>
    </row>
    <row r="12" spans="1:8" ht="12.75">
      <c r="A12" s="24" t="s">
        <v>150</v>
      </c>
      <c r="B12" s="29">
        <v>25000</v>
      </c>
      <c r="C12" s="29">
        <v>25000</v>
      </c>
      <c r="D12" s="17">
        <v>22500</v>
      </c>
      <c r="E12" s="7"/>
      <c r="F12" s="7"/>
      <c r="G12" s="7"/>
      <c r="H12" s="5"/>
    </row>
    <row r="13" spans="1:8" ht="12.75">
      <c r="A13" s="24" t="s">
        <v>110</v>
      </c>
      <c r="B13" s="29">
        <f>36499.11+2102271.38+99000+319250+40000+288569.88+430580+5000+834820+3999.26+2357508+20984+483871+1129032+1998.63+128450+30000+183998.4+641468.4+188280.8+100000+65000+371000+14000+4000+37000</f>
        <v>9916580.86</v>
      </c>
      <c r="C13" s="29">
        <f>36499.11+2102271.38+99000+319250+40000+288569.88+430580+5000+834820+3999.26+2357508+20984+483600+1128400+1998.63+128450+30000+183998.4+641468.4+188280.8+100000+65000+371000+14000+4000+37000</f>
        <v>9915677.86</v>
      </c>
      <c r="D13" s="17">
        <f>36900+213000+95100+6000+5000+4000+353500+1776000+140100+6000+570900+223000+64000+2000+19000+4000+37000</f>
        <v>3555500</v>
      </c>
      <c r="E13" s="7"/>
      <c r="F13" s="7"/>
      <c r="G13" s="7"/>
      <c r="H13" s="5"/>
    </row>
    <row r="14" spans="1:8" ht="12.75">
      <c r="A14" s="24" t="s">
        <v>140</v>
      </c>
      <c r="B14" s="29">
        <f>12600+845000</f>
        <v>857600</v>
      </c>
      <c r="C14" s="29">
        <f>12600+845000</f>
        <v>857600</v>
      </c>
      <c r="D14" s="17">
        <f>7200+761000</f>
        <v>768200</v>
      </c>
      <c r="E14" s="7"/>
      <c r="F14" s="7"/>
      <c r="G14" s="7"/>
      <c r="H14" s="5"/>
    </row>
    <row r="15" spans="1:8" ht="12.75">
      <c r="A15" s="24" t="s">
        <v>164</v>
      </c>
      <c r="B15" s="29">
        <f>3915800+4000+4313350+44700</f>
        <v>8277850</v>
      </c>
      <c r="C15" s="29">
        <f>3915800+4000+4313350+44700</f>
        <v>8277850</v>
      </c>
      <c r="D15" s="17">
        <v>8069000</v>
      </c>
      <c r="E15" s="7"/>
      <c r="F15" s="7"/>
      <c r="G15" s="7"/>
      <c r="H15" s="5"/>
    </row>
    <row r="16" spans="1:8" ht="12.75">
      <c r="A16" s="24" t="s">
        <v>97</v>
      </c>
      <c r="B16" s="29">
        <f>10000+60401+11683500+8557250+100200+82735.2+590555+275000+64000</f>
        <v>21423641.2</v>
      </c>
      <c r="C16" s="29">
        <f>10000+54556.4+11683348+8557250+100200+82735.2+590555+237000+64000</f>
        <v>21379644.599999998</v>
      </c>
      <c r="D16" s="17">
        <f>10000+49000+18535100+100200+575100+193000+75000</f>
        <v>19537400</v>
      </c>
      <c r="E16" s="7"/>
      <c r="F16" s="7"/>
      <c r="G16" s="7"/>
      <c r="H16" s="5"/>
    </row>
    <row r="17" spans="1:8" ht="12.75">
      <c r="A17" s="24" t="s">
        <v>111</v>
      </c>
      <c r="B17" s="29">
        <f>200000+6077.52+400000</f>
        <v>606077.52</v>
      </c>
      <c r="C17" s="29">
        <f>200000+6077.52+400000</f>
        <v>606077.52</v>
      </c>
      <c r="D17" s="17">
        <f>100000+250000</f>
        <v>350000</v>
      </c>
      <c r="E17" s="7"/>
      <c r="F17" s="7"/>
      <c r="G17" s="7"/>
      <c r="H17" s="5"/>
    </row>
    <row r="18" spans="1:8" ht="12.75">
      <c r="A18" s="24" t="s">
        <v>177</v>
      </c>
      <c r="B18" s="29">
        <f>154166.56+718233.44</f>
        <v>872400</v>
      </c>
      <c r="C18" s="29">
        <f>154166.56+718233.44</f>
        <v>872400</v>
      </c>
      <c r="D18" s="17">
        <f>459700+263600</f>
        <v>723300</v>
      </c>
      <c r="E18" s="7"/>
      <c r="F18" s="7"/>
      <c r="G18" s="7"/>
      <c r="H18" s="5"/>
    </row>
    <row r="19" spans="1:8" ht="12.75">
      <c r="A19" s="24" t="s">
        <v>165</v>
      </c>
      <c r="B19" s="29">
        <f>15000+498045</f>
        <v>513045</v>
      </c>
      <c r="C19" s="29">
        <f>15000+42269.64</f>
        <v>57269.64</v>
      </c>
      <c r="D19" s="17">
        <f>13500+276400+6000</f>
        <v>295900</v>
      </c>
      <c r="E19" s="7"/>
      <c r="F19" s="7"/>
      <c r="G19" s="7"/>
      <c r="H19" s="5"/>
    </row>
    <row r="20" spans="1:8" ht="12.75">
      <c r="A20" s="24" t="s">
        <v>139</v>
      </c>
      <c r="B20" s="29">
        <v>0</v>
      </c>
      <c r="C20" s="29">
        <v>0</v>
      </c>
      <c r="D20" s="17">
        <v>0</v>
      </c>
      <c r="E20" s="7"/>
      <c r="F20" s="7"/>
      <c r="G20" s="7"/>
      <c r="H20" s="5"/>
    </row>
    <row r="21" spans="1:9" s="36" customFormat="1" ht="19.5" customHeight="1">
      <c r="A21" s="30" t="s">
        <v>90</v>
      </c>
      <c r="B21" s="31">
        <f>20361027.84+64795.07+199029.66+1174699+2106480+6000+466255+2959554.53</f>
        <v>27337841.1</v>
      </c>
      <c r="C21" s="32">
        <f>19890295.72+64793.07+199016.96+1174699+2016527.8+6000+465904.73+2959554.53</f>
        <v>26776791.810000002</v>
      </c>
      <c r="D21" s="32">
        <f>19993200+20800+145100+1373100+2157000+5400+684800+2088000</f>
        <v>26467400</v>
      </c>
      <c r="E21" s="33"/>
      <c r="F21" s="34"/>
      <c r="G21" s="34"/>
      <c r="H21" s="35" t="s">
        <v>51</v>
      </c>
      <c r="I21" s="36" t="s">
        <v>88</v>
      </c>
    </row>
    <row r="22" spans="1:8" ht="15.75" customHeight="1">
      <c r="A22" s="18" t="s">
        <v>98</v>
      </c>
      <c r="B22" s="19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20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20">
        <f>24200+3749900+286600+40400+2639900+2304400+1465900+12745800+280000+254000+10937200+2636000+219900+11635000+237100+1006300+62200+1050500+13058200+47300+5400+5400+6841100+633900+280000+27645000+1501000</f>
        <v>101592600</v>
      </c>
      <c r="E22" s="21"/>
      <c r="F22" s="22"/>
      <c r="G22" s="22"/>
      <c r="H22" s="2"/>
    </row>
    <row r="23" spans="1:8" ht="21.75" customHeight="1">
      <c r="A23" s="18" t="s">
        <v>143</v>
      </c>
      <c r="B23" s="19">
        <v>12310639.07</v>
      </c>
      <c r="C23" s="20">
        <v>12310639.07</v>
      </c>
      <c r="D23" s="20">
        <v>0</v>
      </c>
      <c r="E23" s="21"/>
      <c r="F23" s="22"/>
      <c r="G23" s="22"/>
      <c r="H23" s="2"/>
    </row>
    <row r="24" spans="1:8" ht="21.75" customHeight="1">
      <c r="A24" s="18" t="s">
        <v>183</v>
      </c>
      <c r="B24" s="19">
        <v>2145120</v>
      </c>
      <c r="C24" s="20">
        <v>2145120</v>
      </c>
      <c r="D24" s="20">
        <v>1997000</v>
      </c>
      <c r="E24" s="21"/>
      <c r="F24" s="22"/>
      <c r="G24" s="22"/>
      <c r="H24" s="2"/>
    </row>
    <row r="25" spans="1:8" ht="39.75" customHeight="1">
      <c r="A25" s="18" t="s">
        <v>91</v>
      </c>
      <c r="B25" s="19"/>
      <c r="C25" s="20"/>
      <c r="D25" s="20"/>
      <c r="E25" s="21"/>
      <c r="F25" s="22"/>
      <c r="G25" s="22"/>
      <c r="H25" s="2"/>
    </row>
    <row r="26" spans="1:8" ht="15.75" customHeight="1">
      <c r="A26" s="18" t="s">
        <v>151</v>
      </c>
      <c r="B26" s="19">
        <v>32961.2</v>
      </c>
      <c r="C26" s="20">
        <v>32961.2</v>
      </c>
      <c r="D26" s="20">
        <v>32114.7</v>
      </c>
      <c r="E26" s="21"/>
      <c r="F26" s="22"/>
      <c r="G26" s="22"/>
      <c r="H26" s="2"/>
    </row>
    <row r="27" spans="1:9" ht="15" customHeight="1">
      <c r="A27" s="18" t="s">
        <v>92</v>
      </c>
      <c r="B27" s="19">
        <f>368300</f>
        <v>368300</v>
      </c>
      <c r="C27" s="26">
        <f>368300</f>
        <v>368300</v>
      </c>
      <c r="D27" s="20">
        <v>361000</v>
      </c>
      <c r="E27" s="21"/>
      <c r="F27" s="23"/>
      <c r="G27" s="23"/>
      <c r="H27" s="2" t="s">
        <v>52</v>
      </c>
      <c r="I27" s="6" t="s">
        <v>89</v>
      </c>
    </row>
    <row r="28" spans="1:8" ht="20.25" customHeight="1">
      <c r="A28" s="18" t="s">
        <v>112</v>
      </c>
      <c r="B28" s="19">
        <v>572385.85</v>
      </c>
      <c r="C28" s="26">
        <v>572385.85</v>
      </c>
      <c r="D28" s="20">
        <v>3822600</v>
      </c>
      <c r="E28" s="21"/>
      <c r="F28" s="23"/>
      <c r="G28" s="23"/>
      <c r="H28" s="2"/>
    </row>
    <row r="29" spans="1:8" ht="15" customHeight="1">
      <c r="A29" s="18" t="s">
        <v>161</v>
      </c>
      <c r="B29" s="19">
        <v>423400</v>
      </c>
      <c r="C29" s="26">
        <v>401130</v>
      </c>
      <c r="D29" s="20">
        <v>395000</v>
      </c>
      <c r="E29" s="21"/>
      <c r="F29" s="23"/>
      <c r="G29" s="23"/>
      <c r="H29" s="2"/>
    </row>
    <row r="30" spans="1:8" ht="15" customHeight="1">
      <c r="A30" s="18" t="s">
        <v>162</v>
      </c>
      <c r="B30" s="19">
        <v>387000</v>
      </c>
      <c r="C30" s="26">
        <v>387000</v>
      </c>
      <c r="D30" s="20">
        <v>362000</v>
      </c>
      <c r="E30" s="21"/>
      <c r="F30" s="23"/>
      <c r="G30" s="23"/>
      <c r="H30" s="2"/>
    </row>
    <row r="31" spans="1:8" ht="15.75" customHeight="1">
      <c r="A31" s="18" t="s">
        <v>158</v>
      </c>
      <c r="B31" s="19">
        <v>65834000</v>
      </c>
      <c r="C31" s="26">
        <v>65834000</v>
      </c>
      <c r="D31" s="20">
        <v>69323800</v>
      </c>
      <c r="E31" s="21"/>
      <c r="F31" s="23"/>
      <c r="G31" s="23"/>
      <c r="H31" s="2"/>
    </row>
    <row r="32" spans="1:8" ht="15.75" customHeight="1">
      <c r="A32" s="18" t="s">
        <v>175</v>
      </c>
      <c r="B32" s="19">
        <v>1368900</v>
      </c>
      <c r="C32" s="26">
        <v>1366390.46</v>
      </c>
      <c r="D32" s="20">
        <v>1387200</v>
      </c>
      <c r="E32" s="21"/>
      <c r="F32" s="23"/>
      <c r="G32" s="23"/>
      <c r="H32" s="2"/>
    </row>
    <row r="33" spans="1:8" ht="14.25" customHeight="1">
      <c r="A33" s="18" t="s">
        <v>121</v>
      </c>
      <c r="B33" s="19">
        <v>327124</v>
      </c>
      <c r="C33" s="26">
        <v>327124</v>
      </c>
      <c r="D33" s="20">
        <v>619700</v>
      </c>
      <c r="E33" s="21"/>
      <c r="F33" s="23"/>
      <c r="G33" s="23"/>
      <c r="H33" s="2"/>
    </row>
    <row r="34" spans="1:8" ht="14.25" customHeight="1">
      <c r="A34" s="18" t="s">
        <v>122</v>
      </c>
      <c r="B34" s="19">
        <v>1370611</v>
      </c>
      <c r="C34" s="26">
        <v>1370611</v>
      </c>
      <c r="D34" s="20">
        <v>2653800</v>
      </c>
      <c r="E34" s="21"/>
      <c r="F34" s="23"/>
      <c r="G34" s="23"/>
      <c r="H34" s="2"/>
    </row>
    <row r="35" spans="1:8" ht="14.25" customHeight="1">
      <c r="A35" s="18" t="s">
        <v>127</v>
      </c>
      <c r="B35" s="19">
        <v>40500</v>
      </c>
      <c r="C35" s="26">
        <v>40500</v>
      </c>
      <c r="D35" s="20">
        <v>71600</v>
      </c>
      <c r="E35" s="21"/>
      <c r="F35" s="23"/>
      <c r="G35" s="23"/>
      <c r="H35" s="2"/>
    </row>
    <row r="36" spans="1:8" ht="14.25" customHeight="1">
      <c r="A36" s="18" t="s">
        <v>159</v>
      </c>
      <c r="B36" s="19">
        <v>198000</v>
      </c>
      <c r="C36" s="26">
        <v>57471.52</v>
      </c>
      <c r="D36" s="20">
        <v>213600</v>
      </c>
      <c r="E36" s="21"/>
      <c r="F36" s="23"/>
      <c r="G36" s="23"/>
      <c r="H36" s="2"/>
    </row>
    <row r="37" spans="1:8" ht="14.25" customHeight="1">
      <c r="A37" s="18" t="s">
        <v>124</v>
      </c>
      <c r="B37" s="19">
        <v>8725102</v>
      </c>
      <c r="C37" s="26">
        <v>8725102</v>
      </c>
      <c r="D37" s="20">
        <v>3409300</v>
      </c>
      <c r="E37" s="21"/>
      <c r="F37" s="23"/>
      <c r="G37" s="23"/>
      <c r="H37" s="2"/>
    </row>
    <row r="38" spans="1:8" ht="14.25" customHeight="1">
      <c r="A38" s="18" t="s">
        <v>130</v>
      </c>
      <c r="B38" s="19">
        <v>73000</v>
      </c>
      <c r="C38" s="26">
        <v>65144</v>
      </c>
      <c r="D38" s="20">
        <v>71200</v>
      </c>
      <c r="E38" s="21"/>
      <c r="F38" s="23"/>
      <c r="G38" s="23"/>
      <c r="H38" s="2"/>
    </row>
    <row r="39" spans="1:8" ht="14.25" customHeight="1">
      <c r="A39" s="18" t="s">
        <v>126</v>
      </c>
      <c r="B39" s="19">
        <v>59689</v>
      </c>
      <c r="C39" s="26">
        <v>59689</v>
      </c>
      <c r="D39" s="20">
        <v>285300</v>
      </c>
      <c r="E39" s="21"/>
      <c r="F39" s="23"/>
      <c r="G39" s="23"/>
      <c r="H39" s="2"/>
    </row>
    <row r="40" spans="1:8" ht="14.25" customHeight="1">
      <c r="A40" s="18" t="s">
        <v>128</v>
      </c>
      <c r="B40" s="19">
        <v>2783100</v>
      </c>
      <c r="C40" s="26">
        <v>2783100</v>
      </c>
      <c r="D40" s="20">
        <v>0</v>
      </c>
      <c r="E40" s="21"/>
      <c r="F40" s="23"/>
      <c r="G40" s="23"/>
      <c r="H40" s="2"/>
    </row>
    <row r="41" spans="1:8" ht="16.5" customHeight="1">
      <c r="A41" s="18" t="s">
        <v>120</v>
      </c>
      <c r="B41" s="19">
        <v>2940436</v>
      </c>
      <c r="C41" s="26">
        <v>2940436</v>
      </c>
      <c r="D41" s="20">
        <v>5523200</v>
      </c>
      <c r="E41" s="21"/>
      <c r="F41" s="23"/>
      <c r="G41" s="23"/>
      <c r="H41" s="2"/>
    </row>
    <row r="42" spans="1:8" ht="16.5" customHeight="1">
      <c r="A42" s="18" t="s">
        <v>176</v>
      </c>
      <c r="B42" s="19">
        <v>990000</v>
      </c>
      <c r="C42" s="26">
        <v>990000</v>
      </c>
      <c r="D42" s="20">
        <v>1177800</v>
      </c>
      <c r="E42" s="21"/>
      <c r="F42" s="23"/>
      <c r="G42" s="23"/>
      <c r="H42" s="2"/>
    </row>
    <row r="43" spans="1:8" ht="16.5" customHeight="1">
      <c r="A43" s="18" t="s">
        <v>125</v>
      </c>
      <c r="B43" s="19">
        <v>750000</v>
      </c>
      <c r="C43" s="26">
        <v>750000</v>
      </c>
      <c r="D43" s="20">
        <v>405200</v>
      </c>
      <c r="E43" s="21"/>
      <c r="F43" s="23"/>
      <c r="G43" s="23"/>
      <c r="H43" s="2"/>
    </row>
    <row r="44" spans="1:8" ht="16.5" customHeight="1">
      <c r="A44" s="18" t="s">
        <v>131</v>
      </c>
      <c r="B44" s="19">
        <v>1707500</v>
      </c>
      <c r="C44" s="26">
        <v>1707500</v>
      </c>
      <c r="D44" s="20">
        <v>4950000</v>
      </c>
      <c r="E44" s="21"/>
      <c r="F44" s="23"/>
      <c r="G44" s="23"/>
      <c r="H44" s="2"/>
    </row>
    <row r="45" spans="1:8" ht="16.5" customHeight="1">
      <c r="A45" s="18" t="s">
        <v>129</v>
      </c>
      <c r="B45" s="19">
        <v>1818500</v>
      </c>
      <c r="C45" s="26">
        <v>1818500</v>
      </c>
      <c r="D45" s="20">
        <v>1799200</v>
      </c>
      <c r="E45" s="21"/>
      <c r="F45" s="23"/>
      <c r="G45" s="23"/>
      <c r="H45" s="2"/>
    </row>
    <row r="46" spans="1:8" ht="17.25" customHeight="1">
      <c r="A46" s="18" t="s">
        <v>119</v>
      </c>
      <c r="B46" s="19">
        <v>9953000</v>
      </c>
      <c r="C46" s="26">
        <v>9953000</v>
      </c>
      <c r="D46" s="20">
        <v>0</v>
      </c>
      <c r="E46" s="21"/>
      <c r="F46" s="23"/>
      <c r="G46" s="23"/>
      <c r="H46" s="2"/>
    </row>
    <row r="47" spans="1:8" ht="15.75" customHeight="1">
      <c r="A47" s="18" t="s">
        <v>114</v>
      </c>
      <c r="B47" s="19">
        <v>1134083</v>
      </c>
      <c r="C47" s="26">
        <v>1134083</v>
      </c>
      <c r="D47" s="20">
        <v>3680800</v>
      </c>
      <c r="E47" s="21"/>
      <c r="F47" s="23"/>
      <c r="G47" s="23"/>
      <c r="H47" s="2"/>
    </row>
    <row r="48" spans="1:8" ht="15.75" customHeight="1">
      <c r="A48" s="18" t="s">
        <v>118</v>
      </c>
      <c r="B48" s="19">
        <v>12500000</v>
      </c>
      <c r="C48" s="26">
        <v>12500000</v>
      </c>
      <c r="D48" s="20">
        <v>0</v>
      </c>
      <c r="E48" s="21"/>
      <c r="F48" s="23"/>
      <c r="G48" s="23"/>
      <c r="H48" s="2"/>
    </row>
    <row r="49" spans="1:8" ht="16.5" customHeight="1">
      <c r="A49" s="18" t="s">
        <v>113</v>
      </c>
      <c r="B49" s="19">
        <v>698790</v>
      </c>
      <c r="C49" s="26">
        <v>698790</v>
      </c>
      <c r="D49" s="20">
        <v>143900</v>
      </c>
      <c r="E49" s="21"/>
      <c r="F49" s="23"/>
      <c r="G49" s="23"/>
      <c r="H49" s="2"/>
    </row>
    <row r="50" spans="1:8" ht="16.5" customHeight="1">
      <c r="A50" s="18" t="s">
        <v>116</v>
      </c>
      <c r="B50" s="19">
        <v>2761599</v>
      </c>
      <c r="C50" s="26">
        <v>2761599</v>
      </c>
      <c r="D50" s="20">
        <v>82500</v>
      </c>
      <c r="E50" s="21"/>
      <c r="F50" s="23"/>
      <c r="G50" s="23"/>
      <c r="H50" s="2"/>
    </row>
    <row r="51" spans="1:8" ht="16.5" customHeight="1">
      <c r="A51" s="18" t="s">
        <v>166</v>
      </c>
      <c r="B51" s="19">
        <v>700866</v>
      </c>
      <c r="C51" s="26">
        <v>700866</v>
      </c>
      <c r="D51" s="20">
        <v>0</v>
      </c>
      <c r="E51" s="21"/>
      <c r="F51" s="23"/>
      <c r="G51" s="23"/>
      <c r="H51" s="2"/>
    </row>
    <row r="52" spans="1:8" ht="16.5" customHeight="1">
      <c r="A52" s="18" t="s">
        <v>167</v>
      </c>
      <c r="B52" s="19">
        <v>2792304</v>
      </c>
      <c r="C52" s="26">
        <v>2792304</v>
      </c>
      <c r="D52" s="20">
        <v>1401700</v>
      </c>
      <c r="E52" s="21"/>
      <c r="F52" s="23"/>
      <c r="G52" s="23"/>
      <c r="H52" s="2"/>
    </row>
    <row r="53" spans="1:8" ht="12.75">
      <c r="A53" s="24" t="s">
        <v>93</v>
      </c>
      <c r="B53" s="20">
        <v>1704.26</v>
      </c>
      <c r="C53" s="20">
        <v>0</v>
      </c>
      <c r="D53" s="20">
        <v>2381.73</v>
      </c>
      <c r="E53" s="20"/>
      <c r="F53" s="27"/>
      <c r="G53" s="27"/>
      <c r="H53" s="5"/>
    </row>
    <row r="54" spans="1:8" ht="12.75">
      <c r="A54" s="24" t="s">
        <v>115</v>
      </c>
      <c r="B54" s="20">
        <v>8967825</v>
      </c>
      <c r="C54" s="20">
        <v>8967825</v>
      </c>
      <c r="D54" s="20">
        <v>6486000</v>
      </c>
      <c r="E54" s="20"/>
      <c r="F54" s="27"/>
      <c r="G54" s="27"/>
      <c r="H54" s="5"/>
    </row>
    <row r="55" spans="1:8" ht="12.75">
      <c r="A55" s="24" t="s">
        <v>117</v>
      </c>
      <c r="B55" s="20">
        <v>5883800</v>
      </c>
      <c r="C55" s="20">
        <v>5883800</v>
      </c>
      <c r="D55" s="20">
        <v>7289900</v>
      </c>
      <c r="E55" s="20"/>
      <c r="F55" s="27"/>
      <c r="G55" s="27"/>
      <c r="H55" s="5"/>
    </row>
    <row r="56" spans="1:9" ht="12.75">
      <c r="A56" s="24" t="s">
        <v>107</v>
      </c>
      <c r="B56" s="20"/>
      <c r="C56" s="20"/>
      <c r="D56" s="20"/>
      <c r="E56" s="20"/>
      <c r="F56" s="27"/>
      <c r="G56" s="27"/>
      <c r="H56" s="5"/>
      <c r="I56" s="10"/>
    </row>
    <row r="57" spans="1:9" ht="12.75">
      <c r="A57" s="24" t="s">
        <v>184</v>
      </c>
      <c r="B57" s="20">
        <v>5754400</v>
      </c>
      <c r="C57" s="20">
        <v>5754400</v>
      </c>
      <c r="D57" s="20">
        <v>5773900</v>
      </c>
      <c r="E57" s="20"/>
      <c r="F57" s="27"/>
      <c r="G57" s="27"/>
      <c r="H57" s="5"/>
      <c r="I57" s="10"/>
    </row>
    <row r="58" spans="1:8" ht="12.75">
      <c r="A58" s="24" t="s">
        <v>108</v>
      </c>
      <c r="B58" s="20">
        <v>273.2</v>
      </c>
      <c r="C58" s="20">
        <v>273.2</v>
      </c>
      <c r="D58" s="20">
        <v>314.5</v>
      </c>
      <c r="E58" s="20"/>
      <c r="F58" s="27"/>
      <c r="G58" s="27"/>
      <c r="H58" s="5"/>
    </row>
    <row r="59" spans="1:8" ht="12.75">
      <c r="A59" s="24" t="s">
        <v>109</v>
      </c>
      <c r="B59" s="20">
        <f>5187190+3784325+1750000+2399148.34+59000+50000+248711+478725+705375+3966500</f>
        <v>18628974.34</v>
      </c>
      <c r="C59" s="20">
        <f>5187190+3784325+1750000+2399148.34+59000+50000+248711+478725+705375+3966500</f>
        <v>18628974.34</v>
      </c>
      <c r="D59" s="20">
        <f>706800+560000+3000000+3308100+104400</f>
        <v>7679300</v>
      </c>
      <c r="E59" s="20"/>
      <c r="F59" s="27"/>
      <c r="G59" s="27"/>
      <c r="H59" s="5" t="s">
        <v>53</v>
      </c>
    </row>
    <row r="60" spans="1:8" ht="12.75">
      <c r="A60" s="24"/>
      <c r="B60" s="20"/>
      <c r="C60" s="20"/>
      <c r="D60" s="20"/>
      <c r="E60" s="20"/>
      <c r="F60" s="27"/>
      <c r="G60" s="27"/>
      <c r="H60" s="5" t="s">
        <v>54</v>
      </c>
    </row>
    <row r="61" spans="1:8" ht="12.75">
      <c r="A61" s="24"/>
      <c r="B61" s="20">
        <f>SUM(B4:B59)</f>
        <v>372124169.18999994</v>
      </c>
      <c r="C61" s="20">
        <f>SUM(C4:C59)</f>
        <v>362190089.58999985</v>
      </c>
      <c r="D61" s="20">
        <f>SUM(D4:D59)</f>
        <v>312592410.93</v>
      </c>
      <c r="E61" s="20"/>
      <c r="F61" s="27"/>
      <c r="G61" s="27"/>
      <c r="H61" s="5"/>
    </row>
    <row r="62" spans="1:8" ht="12.75">
      <c r="A62" s="24"/>
      <c r="B62" s="20"/>
      <c r="C62" s="20"/>
      <c r="D62" s="20"/>
      <c r="E62" s="20"/>
      <c r="F62" s="27"/>
      <c r="G62" s="27"/>
      <c r="H62" s="5"/>
    </row>
    <row r="63" spans="1:8" ht="12.75">
      <c r="A63" s="24"/>
      <c r="B63" s="20">
        <f>411125549.46-B61</f>
        <v>39001380.27000004</v>
      </c>
      <c r="C63" s="20">
        <f>399851298.8-C61</f>
        <v>37661209.21000016</v>
      </c>
      <c r="D63" s="20">
        <f>369107681.8-D61</f>
        <v>56515270.870000005</v>
      </c>
      <c r="E63" s="20"/>
      <c r="F63" s="27"/>
      <c r="G63" s="27"/>
      <c r="H63" s="5"/>
    </row>
    <row r="64" spans="1:8" ht="12.75">
      <c r="A64" s="24"/>
      <c r="B64" s="20"/>
      <c r="C64" s="20"/>
      <c r="D64" s="20"/>
      <c r="E64" s="20"/>
      <c r="F64" s="27"/>
      <c r="G64" s="27"/>
      <c r="H64" s="5"/>
    </row>
    <row r="65" spans="1:8" ht="12.75">
      <c r="A65" s="24"/>
      <c r="B65" s="20"/>
      <c r="C65" s="20"/>
      <c r="D65" s="20"/>
      <c r="E65" s="20"/>
      <c r="F65" s="27"/>
      <c r="G65" s="27"/>
      <c r="H65" s="5"/>
    </row>
    <row r="66" spans="1:12" ht="12.75">
      <c r="A66" s="24"/>
      <c r="B66" s="20"/>
      <c r="C66" s="20"/>
      <c r="D66" s="20"/>
      <c r="E66" s="20"/>
      <c r="F66" s="27"/>
      <c r="G66" s="27"/>
      <c r="H66" s="5"/>
      <c r="L66" s="25"/>
    </row>
    <row r="67" spans="1:8" ht="12.75">
      <c r="A67" s="24"/>
      <c r="B67" s="20"/>
      <c r="C67" s="20"/>
      <c r="D67" s="20"/>
      <c r="E67" s="20"/>
      <c r="F67" s="27"/>
      <c r="G67" s="27"/>
      <c r="H67" s="5"/>
    </row>
    <row r="68" spans="1:8" ht="12.75">
      <c r="A68" s="24"/>
      <c r="B68" s="20"/>
      <c r="C68" s="20"/>
      <c r="D68" s="20"/>
      <c r="E68" s="20"/>
      <c r="F68" s="27"/>
      <c r="G68" s="27"/>
      <c r="H68" s="5"/>
    </row>
    <row r="69" spans="1:8" ht="12.75">
      <c r="A69" s="24"/>
      <c r="B69" s="20"/>
      <c r="C69" s="20"/>
      <c r="D69" s="20"/>
      <c r="E69" s="20"/>
      <c r="F69" s="27"/>
      <c r="G69" s="27"/>
      <c r="H69" s="5" t="s">
        <v>55</v>
      </c>
    </row>
    <row r="70" spans="1:8" ht="12.75">
      <c r="A70" s="24"/>
      <c r="B70" s="20"/>
      <c r="C70" s="20"/>
      <c r="D70" s="20"/>
      <c r="E70" s="20"/>
      <c r="F70" s="27"/>
      <c r="G70" s="27"/>
      <c r="H70" s="5"/>
    </row>
    <row r="71" spans="1:8" ht="12.75">
      <c r="A71" s="24"/>
      <c r="B71" s="20"/>
      <c r="C71" s="20"/>
      <c r="D71" s="20"/>
      <c r="E71" s="20"/>
      <c r="F71" s="27"/>
      <c r="G71" s="27"/>
      <c r="H71" s="5"/>
    </row>
    <row r="72" spans="1:8" ht="12.75">
      <c r="A72" s="24"/>
      <c r="B72" s="20"/>
      <c r="C72" s="20"/>
      <c r="D72" s="20"/>
      <c r="E72" s="20"/>
      <c r="F72" s="27"/>
      <c r="G72" s="27"/>
      <c r="H72" s="5"/>
    </row>
    <row r="73" spans="1:8" ht="12.75">
      <c r="A73" s="24"/>
      <c r="B73" s="20"/>
      <c r="C73" s="20"/>
      <c r="D73" s="20"/>
      <c r="E73" s="20"/>
      <c r="F73" s="27"/>
      <c r="G73" s="27"/>
      <c r="H73" s="5"/>
    </row>
    <row r="74" spans="1:8" ht="12.75">
      <c r="A74" s="24"/>
      <c r="B74" s="20"/>
      <c r="C74" s="20"/>
      <c r="D74" s="20"/>
      <c r="E74" s="20"/>
      <c r="F74" s="27"/>
      <c r="G74" s="27"/>
      <c r="H74" s="5"/>
    </row>
    <row r="75" spans="1:8" ht="12.75">
      <c r="A75" s="24"/>
      <c r="B75" s="20"/>
      <c r="C75" s="20"/>
      <c r="D75" s="20"/>
      <c r="E75" s="20"/>
      <c r="F75" s="27"/>
      <c r="G75" s="27"/>
      <c r="H75" s="5"/>
    </row>
    <row r="76" spans="1:8" ht="12.75">
      <c r="A76" s="24"/>
      <c r="B76" s="20"/>
      <c r="C76" s="20"/>
      <c r="D76" s="20"/>
      <c r="E76" s="20"/>
      <c r="F76" s="28"/>
      <c r="G76" s="28"/>
      <c r="H76" s="5" t="s">
        <v>56</v>
      </c>
    </row>
    <row r="77" spans="1:8" ht="12.75">
      <c r="A77" s="9" t="s">
        <v>57</v>
      </c>
      <c r="B77" s="17"/>
      <c r="C77" s="17">
        <f>SUM(C21:C76)</f>
        <v>699650381.92</v>
      </c>
      <c r="D77" s="17">
        <f>SUM(D21:D76)</f>
        <v>628568992.73</v>
      </c>
      <c r="E77" s="17"/>
      <c r="F77" s="7"/>
      <c r="G77" s="7"/>
      <c r="H77" s="5"/>
    </row>
    <row r="78" spans="1:8" ht="12.75">
      <c r="A78" s="3"/>
      <c r="B78" s="3"/>
      <c r="C78" s="5"/>
      <c r="D78" s="5"/>
      <c r="E78" s="5"/>
      <c r="F78" s="5"/>
      <c r="G78" s="5"/>
      <c r="H78" s="5"/>
    </row>
    <row r="79" spans="1:8" ht="12.75">
      <c r="A79" s="3"/>
      <c r="B79" s="3"/>
      <c r="C79" s="5"/>
      <c r="D79" s="5"/>
      <c r="E79" s="5"/>
      <c r="F79" s="5"/>
      <c r="G79" s="5"/>
      <c r="H79" s="5"/>
    </row>
    <row r="80" spans="1:8" ht="12.75">
      <c r="A80" s="3" t="s">
        <v>58</v>
      </c>
      <c r="B80" s="3"/>
      <c r="C80" s="5">
        <v>272.7</v>
      </c>
      <c r="D80" s="5">
        <v>276.1</v>
      </c>
      <c r="E80" s="5"/>
      <c r="F80" s="5"/>
      <c r="G80" s="5"/>
      <c r="H80" s="5"/>
    </row>
    <row r="81" spans="1:8" ht="12.75">
      <c r="A81" s="3" t="s">
        <v>59</v>
      </c>
      <c r="B81" s="3"/>
      <c r="C81" s="5">
        <v>3966.5</v>
      </c>
      <c r="D81" s="5">
        <v>7140.8</v>
      </c>
      <c r="E81" s="5"/>
      <c r="F81" s="5"/>
      <c r="G81" s="5"/>
      <c r="H81" s="5"/>
    </row>
    <row r="82" spans="1:8" ht="12.75">
      <c r="A82" s="3" t="s">
        <v>60</v>
      </c>
      <c r="B82" s="3"/>
      <c r="C82" s="5">
        <f>5460.2+3983.5+2375+4331+742.5+2133.7</f>
        <v>19025.9</v>
      </c>
      <c r="D82" s="5">
        <f>5085.5+3710.2+0+691.5+249.4</f>
        <v>9736.6</v>
      </c>
      <c r="E82" s="5"/>
      <c r="F82" s="5"/>
      <c r="G82" s="5"/>
      <c r="H82" s="5"/>
    </row>
    <row r="83" spans="1:8" ht="12.75">
      <c r="A83" s="9" t="s">
        <v>57</v>
      </c>
      <c r="B83" s="9"/>
      <c r="C83" s="11">
        <f>SUM(C80:C82)</f>
        <v>23265.100000000002</v>
      </c>
      <c r="D83" s="11">
        <f>SUM(D80:D82)</f>
        <v>17153.5</v>
      </c>
      <c r="E83" s="11"/>
      <c r="F83" s="11"/>
      <c r="G83" s="11"/>
      <c r="H83" s="5"/>
    </row>
    <row r="84" spans="1:8" ht="51">
      <c r="A84" s="12" t="s">
        <v>61</v>
      </c>
      <c r="B84" s="12"/>
      <c r="C84" s="13">
        <f>5754.4-3620.7</f>
        <v>2133.7</v>
      </c>
      <c r="D84" s="13">
        <f>6742.8-6493.4</f>
        <v>249.40000000000055</v>
      </c>
      <c r="E84" s="11"/>
      <c r="F84" s="11"/>
      <c r="G84" s="11"/>
      <c r="H84" s="8"/>
    </row>
    <row r="85" spans="1:8" ht="12.75">
      <c r="A85" s="3"/>
      <c r="B85" s="3"/>
      <c r="C85" s="5"/>
      <c r="D85" s="5"/>
      <c r="E85" s="5"/>
      <c r="F85" s="5"/>
      <c r="G85" s="5"/>
      <c r="H85" s="5"/>
    </row>
    <row r="86" spans="1:8" ht="12.75">
      <c r="A86" s="3" t="s">
        <v>62</v>
      </c>
      <c r="B86" s="3"/>
      <c r="C86" s="5">
        <v>2775.6</v>
      </c>
      <c r="D86" s="5"/>
      <c r="E86" s="5"/>
      <c r="F86" s="5"/>
      <c r="G86" s="5"/>
      <c r="H86" s="5"/>
    </row>
    <row r="87" spans="1:8" ht="12.75">
      <c r="A87" s="3" t="s">
        <v>63</v>
      </c>
      <c r="B87" s="3"/>
      <c r="C87" s="5">
        <v>3620.7</v>
      </c>
      <c r="D87" s="5">
        <v>6493.4</v>
      </c>
      <c r="E87" s="5"/>
      <c r="F87" s="5"/>
      <c r="G87" s="5"/>
      <c r="H87" s="5"/>
    </row>
    <row r="88" spans="1:8" ht="12.75">
      <c r="A88" s="3" t="s">
        <v>64</v>
      </c>
      <c r="B88" s="3"/>
      <c r="C88" s="5">
        <v>63944.4</v>
      </c>
      <c r="D88" s="5">
        <v>63944.4</v>
      </c>
      <c r="E88" s="5"/>
      <c r="F88" s="5"/>
      <c r="G88" s="5"/>
      <c r="H88" s="5"/>
    </row>
    <row r="89" spans="1:8" ht="12.75">
      <c r="A89" s="3" t="s">
        <v>65</v>
      </c>
      <c r="B89" s="3"/>
      <c r="C89" s="8"/>
      <c r="D89" s="8"/>
      <c r="E89" s="8"/>
      <c r="F89" s="8"/>
      <c r="G89" s="8"/>
      <c r="H89" s="5"/>
    </row>
    <row r="90" spans="1:8" ht="12.75">
      <c r="A90" s="3" t="s">
        <v>66</v>
      </c>
      <c r="B90" s="3"/>
      <c r="C90" s="8">
        <v>5050.1</v>
      </c>
      <c r="D90" s="8">
        <v>5359.6</v>
      </c>
      <c r="E90" s="8"/>
      <c r="F90" s="8"/>
      <c r="G90" s="8"/>
      <c r="H90" s="5"/>
    </row>
    <row r="91" spans="1:8" ht="12.75">
      <c r="A91" s="3" t="s">
        <v>67</v>
      </c>
      <c r="B91" s="3"/>
      <c r="C91" s="8">
        <v>387.7</v>
      </c>
      <c r="D91" s="8">
        <v>412.3</v>
      </c>
      <c r="E91" s="8"/>
      <c r="F91" s="8"/>
      <c r="G91" s="8"/>
      <c r="H91" s="5"/>
    </row>
    <row r="92" spans="1:8" ht="12.75">
      <c r="A92" s="3" t="s">
        <v>68</v>
      </c>
      <c r="B92" s="3"/>
      <c r="C92" s="8">
        <v>387</v>
      </c>
      <c r="D92" s="8">
        <v>411.4</v>
      </c>
      <c r="E92" s="8"/>
      <c r="F92" s="8"/>
      <c r="G92" s="8"/>
      <c r="H92" s="5"/>
    </row>
    <row r="93" spans="1:8" ht="12.75">
      <c r="A93" s="3" t="s">
        <v>69</v>
      </c>
      <c r="B93" s="3"/>
      <c r="C93" s="8">
        <v>7790.7</v>
      </c>
      <c r="D93" s="8">
        <v>7790.7</v>
      </c>
      <c r="E93" s="8"/>
      <c r="F93" s="8"/>
      <c r="G93" s="8"/>
      <c r="H93" s="5"/>
    </row>
    <row r="94" spans="1:8" ht="12.75">
      <c r="A94" s="3" t="s">
        <v>70</v>
      </c>
      <c r="B94" s="3"/>
      <c r="C94" s="8">
        <v>1094.2</v>
      </c>
      <c r="D94" s="8">
        <v>1094.2</v>
      </c>
      <c r="E94" s="8"/>
      <c r="F94" s="8"/>
      <c r="G94" s="8"/>
      <c r="H94" s="5"/>
    </row>
    <row r="95" spans="1:8" ht="12.75">
      <c r="A95" s="3" t="s">
        <v>71</v>
      </c>
      <c r="B95" s="3"/>
      <c r="C95" s="8">
        <f>287.2+276.9</f>
        <v>564.0999999999999</v>
      </c>
      <c r="D95" s="8">
        <f>269.7+276.9</f>
        <v>546.5999999999999</v>
      </c>
      <c r="E95" s="8"/>
      <c r="F95" s="8"/>
      <c r="G95" s="8"/>
      <c r="H95" s="5"/>
    </row>
    <row r="96" spans="1:8" ht="12.75">
      <c r="A96" s="3" t="s">
        <v>72</v>
      </c>
      <c r="B96" s="3"/>
      <c r="C96" s="8">
        <v>1313.6</v>
      </c>
      <c r="D96" s="8">
        <v>1313.6</v>
      </c>
      <c r="E96" s="8"/>
      <c r="F96" s="8"/>
      <c r="G96" s="8"/>
      <c r="H96" s="5"/>
    </row>
    <row r="97" spans="1:8" ht="12.75">
      <c r="A97" s="3" t="s">
        <v>73</v>
      </c>
      <c r="B97" s="3"/>
      <c r="C97" s="8"/>
      <c r="D97" s="8">
        <v>3.5</v>
      </c>
      <c r="E97" s="8"/>
      <c r="F97" s="8"/>
      <c r="G97" s="8"/>
      <c r="H97" s="5"/>
    </row>
    <row r="98" spans="1:8" ht="12.75">
      <c r="A98" s="3" t="s">
        <v>74</v>
      </c>
      <c r="B98" s="3"/>
      <c r="C98" s="8">
        <v>220</v>
      </c>
      <c r="D98" s="8">
        <v>220</v>
      </c>
      <c r="E98" s="8"/>
      <c r="F98" s="8"/>
      <c r="G98" s="8"/>
      <c r="H98" s="5"/>
    </row>
    <row r="99" spans="1:8" ht="12.75">
      <c r="A99" s="3" t="s">
        <v>75</v>
      </c>
      <c r="B99" s="3"/>
      <c r="C99" s="8">
        <v>445.7</v>
      </c>
      <c r="D99" s="8">
        <v>503.6</v>
      </c>
      <c r="E99" s="8"/>
      <c r="F99" s="8"/>
      <c r="G99" s="8"/>
      <c r="H99" s="5"/>
    </row>
    <row r="100" spans="1:8" ht="12.75">
      <c r="A100" s="3" t="s">
        <v>76</v>
      </c>
      <c r="B100" s="3"/>
      <c r="C100" s="8">
        <v>412.6</v>
      </c>
      <c r="D100" s="8">
        <v>412.6</v>
      </c>
      <c r="E100" s="8"/>
      <c r="F100" s="8"/>
      <c r="G100" s="8"/>
      <c r="H100" s="5"/>
    </row>
    <row r="101" spans="1:8" ht="12.75">
      <c r="A101" s="3" t="s">
        <v>77</v>
      </c>
      <c r="B101" s="3"/>
      <c r="C101" s="8">
        <v>4900.5</v>
      </c>
      <c r="D101" s="8">
        <v>4900.5</v>
      </c>
      <c r="E101" s="8"/>
      <c r="F101" s="8"/>
      <c r="G101" s="8"/>
      <c r="H101" s="5"/>
    </row>
    <row r="102" spans="1:8" ht="12.75">
      <c r="A102" s="3" t="s">
        <v>78</v>
      </c>
      <c r="B102" s="3"/>
      <c r="C102" s="8">
        <f>5429.6+2808.4</f>
        <v>8238</v>
      </c>
      <c r="D102" s="8">
        <f>5492.6+2808.4</f>
        <v>8301</v>
      </c>
      <c r="E102" s="8"/>
      <c r="F102" s="8"/>
      <c r="G102" s="8"/>
      <c r="H102" s="5"/>
    </row>
    <row r="103" spans="1:8" ht="12.75">
      <c r="A103" s="3" t="s">
        <v>79</v>
      </c>
      <c r="B103" s="3"/>
      <c r="C103" s="8">
        <v>301.5</v>
      </c>
      <c r="D103" s="8">
        <v>282.9</v>
      </c>
      <c r="E103" s="8"/>
      <c r="F103" s="8"/>
      <c r="G103" s="8"/>
      <c r="H103" s="5"/>
    </row>
    <row r="104" spans="1:8" ht="12.75">
      <c r="A104" s="3" t="s">
        <v>80</v>
      </c>
      <c r="B104" s="3"/>
      <c r="C104" s="8">
        <v>1169.6</v>
      </c>
      <c r="D104" s="8">
        <v>1242.1</v>
      </c>
      <c r="E104" s="8"/>
      <c r="F104" s="8"/>
      <c r="G104" s="8"/>
      <c r="H104" s="5"/>
    </row>
    <row r="105" spans="1:8" ht="12.75">
      <c r="A105" s="3" t="s">
        <v>81</v>
      </c>
      <c r="B105" s="3"/>
      <c r="C105" s="8">
        <v>1692.7</v>
      </c>
      <c r="D105" s="8">
        <v>1603.6</v>
      </c>
      <c r="E105" s="8"/>
      <c r="F105" s="8"/>
      <c r="G105" s="8"/>
      <c r="H105" s="5"/>
    </row>
    <row r="106" spans="1:8" ht="12.75">
      <c r="A106" s="3" t="s">
        <v>82</v>
      </c>
      <c r="B106" s="3"/>
      <c r="C106" s="8">
        <v>363.6</v>
      </c>
      <c r="D106" s="8">
        <v>363.6</v>
      </c>
      <c r="E106" s="8"/>
      <c r="F106" s="8"/>
      <c r="G106" s="8"/>
      <c r="H106" s="5"/>
    </row>
    <row r="107" spans="1:8" ht="12.75">
      <c r="A107" s="3" t="s">
        <v>83</v>
      </c>
      <c r="B107" s="3"/>
      <c r="C107" s="8">
        <v>73</v>
      </c>
      <c r="D107" s="8">
        <v>59.3</v>
      </c>
      <c r="E107" s="8"/>
      <c r="F107" s="8"/>
      <c r="G107" s="8"/>
      <c r="H107" s="5"/>
    </row>
    <row r="108" spans="1:8" ht="12.75">
      <c r="A108" s="3" t="s">
        <v>84</v>
      </c>
      <c r="B108" s="3"/>
      <c r="C108" s="8">
        <v>38048</v>
      </c>
      <c r="D108" s="8">
        <v>38048</v>
      </c>
      <c r="E108" s="8"/>
      <c r="F108" s="8"/>
      <c r="G108" s="8"/>
      <c r="H108" s="5"/>
    </row>
    <row r="109" spans="1:8" ht="12.75">
      <c r="A109" s="9" t="s">
        <v>57</v>
      </c>
      <c r="B109" s="9"/>
      <c r="C109" s="11">
        <f>SUM(C86:C108)</f>
        <v>142793.30000000002</v>
      </c>
      <c r="D109" s="11">
        <f>SUM(D86:D108)</f>
        <v>143306.90000000002</v>
      </c>
      <c r="E109" s="11"/>
      <c r="F109" s="11"/>
      <c r="G109" s="11"/>
      <c r="H109" s="5"/>
    </row>
    <row r="110" spans="1:8" ht="12.75">
      <c r="A110" s="3"/>
      <c r="B110" s="3"/>
      <c r="C110" s="5"/>
      <c r="D110" s="5"/>
      <c r="E110" s="5"/>
      <c r="F110" s="5"/>
      <c r="G110" s="5"/>
      <c r="H110" s="5"/>
    </row>
    <row r="111" spans="1:8" ht="12.75">
      <c r="A111" s="9" t="s">
        <v>85</v>
      </c>
      <c r="B111" s="9"/>
      <c r="C111" s="7">
        <f>C77+C83+C109</f>
        <v>699816440.3199999</v>
      </c>
      <c r="D111" s="7">
        <f>D77+D83+D109</f>
        <v>628729453.13</v>
      </c>
      <c r="E111" s="7"/>
      <c r="F111" s="7"/>
      <c r="G111" s="7"/>
      <c r="H111" s="5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2020-02-06T06:43:46Z</cp:lastPrinted>
  <dcterms:created xsi:type="dcterms:W3CDTF">2015-01-13T12:52:34Z</dcterms:created>
  <dcterms:modified xsi:type="dcterms:W3CDTF">2020-02-06T06:43:48Z</dcterms:modified>
  <cp:category/>
  <cp:version/>
  <cp:contentType/>
  <cp:contentStatus/>
</cp:coreProperties>
</file>